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8800" windowHeight="1170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DIO'!$A$3:$E$34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 calcMode="manual"/>
</workbook>
</file>

<file path=xl/calcChain.xml><?xml version="1.0" encoding="utf-8"?>
<calcChain xmlns="http://schemas.openxmlformats.org/spreadsheetml/2006/main">
  <c r="H3" i="4" l="1"/>
  <c r="G3" i="4"/>
  <c r="I3" i="4"/>
  <c r="I8" i="4" l="1"/>
  <c r="H8" i="4"/>
  <c r="K115" i="17" l="1"/>
  <c r="J115" i="17"/>
  <c r="L103" i="17"/>
  <c r="K103" i="17"/>
  <c r="J103" i="17"/>
  <c r="J63" i="17"/>
  <c r="L40" i="17"/>
  <c r="K40" i="17"/>
  <c r="J40" i="17"/>
  <c r="L62" i="17"/>
  <c r="K62" i="17"/>
  <c r="J62" i="17"/>
  <c r="L52" i="17"/>
  <c r="K52" i="17"/>
  <c r="L73" i="17"/>
  <c r="K73" i="17"/>
  <c r="J73" i="17"/>
  <c r="J74" i="17"/>
  <c r="J41" i="17" l="1"/>
  <c r="J117" i="17"/>
  <c r="J86" i="17" l="1"/>
  <c r="L81" i="17"/>
  <c r="K81" i="17"/>
  <c r="J81" i="17"/>
  <c r="L79" i="17"/>
  <c r="J79" i="17"/>
  <c r="J77" i="17"/>
  <c r="L75" i="17"/>
  <c r="K75" i="17"/>
  <c r="J75" i="17"/>
  <c r="L74" i="17"/>
  <c r="K74" i="17"/>
  <c r="L71" i="17"/>
  <c r="K71" i="17"/>
  <c r="L54" i="17"/>
  <c r="K54" i="17"/>
  <c r="J54" i="17"/>
  <c r="L49" i="17"/>
  <c r="K49" i="17"/>
  <c r="J49" i="17"/>
  <c r="J47" i="17"/>
  <c r="L43" i="17"/>
  <c r="K43" i="17"/>
  <c r="J43" i="17"/>
  <c r="L42" i="17"/>
  <c r="K42" i="17"/>
  <c r="J42" i="17"/>
  <c r="L41" i="17"/>
  <c r="K41" i="17"/>
  <c r="D5" i="34" l="1"/>
  <c r="M39" i="4"/>
  <c r="N153" i="17"/>
  <c r="N151" i="17"/>
  <c r="N150" i="17"/>
  <c r="N152" i="17" l="1"/>
  <c r="N154" i="17" s="1"/>
  <c r="AF941" i="25"/>
  <c r="AG941" i="25" s="1"/>
  <c r="U13" i="31"/>
  <c r="S13" i="31"/>
  <c r="Q13" i="31"/>
  <c r="P13" i="31"/>
  <c r="N13" i="31"/>
  <c r="M13" i="31"/>
  <c r="L13" i="31"/>
  <c r="H13" i="31"/>
  <c r="U12" i="31"/>
  <c r="S12" i="31"/>
  <c r="Q12" i="31"/>
  <c r="P12" i="31"/>
  <c r="N12" i="31"/>
  <c r="M12" i="31"/>
  <c r="L12" i="31"/>
  <c r="H12" i="31"/>
  <c r="U35" i="31"/>
  <c r="S35" i="31"/>
  <c r="Q35" i="31"/>
  <c r="P35" i="31"/>
  <c r="N35" i="31"/>
  <c r="M35" i="31"/>
  <c r="L35" i="31"/>
  <c r="H35" i="31"/>
  <c r="U34" i="31"/>
  <c r="S34" i="31"/>
  <c r="Q34" i="31"/>
  <c r="P34" i="31"/>
  <c r="N34" i="31"/>
  <c r="M34" i="31"/>
  <c r="L34" i="31"/>
  <c r="H34" i="31"/>
  <c r="U23" i="31"/>
  <c r="S23" i="31"/>
  <c r="Q23" i="31"/>
  <c r="P23" i="31"/>
  <c r="N23" i="31"/>
  <c r="M23" i="31"/>
  <c r="L23" i="31"/>
  <c r="H23" i="31"/>
  <c r="U24" i="31"/>
  <c r="S24" i="31"/>
  <c r="Q24" i="31"/>
  <c r="P24" i="31"/>
  <c r="N24" i="31"/>
  <c r="M24" i="31"/>
  <c r="L24" i="31"/>
  <c r="H24" i="31"/>
  <c r="R305" i="17" l="1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G10" i="25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3" i="25"/>
  <c r="AG29" i="25"/>
  <c r="AG41" i="25"/>
  <c r="AG44" i="25"/>
  <c r="AG45" i="25"/>
  <c r="AG49" i="25"/>
  <c r="AG57" i="25"/>
  <c r="AG65" i="25"/>
  <c r="AG73" i="25"/>
  <c r="AG77" i="25"/>
  <c r="AG79" i="25"/>
  <c r="AG81" i="25"/>
  <c r="AG93" i="25"/>
  <c r="AG100" i="25"/>
  <c r="AG105" i="25"/>
  <c r="AG109" i="25"/>
  <c r="AG113" i="25"/>
  <c r="AG121" i="25"/>
  <c r="AG129" i="25"/>
  <c r="AG13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F45" i="25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U52" i="14"/>
  <c r="S52" i="14"/>
  <c r="Q52" i="14"/>
  <c r="P52" i="14"/>
  <c r="N52" i="14"/>
  <c r="M52" i="14"/>
  <c r="L52" i="14"/>
  <c r="H52" i="14"/>
  <c r="U51" i="14"/>
  <c r="S51" i="14"/>
  <c r="Q51" i="14"/>
  <c r="P51" i="14"/>
  <c r="N51" i="14"/>
  <c r="M51" i="14"/>
  <c r="L51" i="14"/>
  <c r="H51" i="14"/>
  <c r="U50" i="14"/>
  <c r="S50" i="14"/>
  <c r="Q50" i="14"/>
  <c r="P50" i="14"/>
  <c r="N50" i="14"/>
  <c r="M50" i="14"/>
  <c r="L50" i="14"/>
  <c r="H50" i="14"/>
  <c r="U49" i="14"/>
  <c r="S49" i="14"/>
  <c r="Q49" i="14"/>
  <c r="P49" i="14"/>
  <c r="N49" i="14"/>
  <c r="M49" i="14"/>
  <c r="L49" i="14"/>
  <c r="H49" i="14"/>
  <c r="U48" i="14"/>
  <c r="S48" i="14"/>
  <c r="Q48" i="14"/>
  <c r="P48" i="14"/>
  <c r="N48" i="14"/>
  <c r="M48" i="14"/>
  <c r="L48" i="14"/>
  <c r="H48" i="14"/>
  <c r="U46" i="14"/>
  <c r="S46" i="14"/>
  <c r="Q46" i="14"/>
  <c r="P46" i="14"/>
  <c r="N46" i="14"/>
  <c r="M46" i="14"/>
  <c r="L46" i="14"/>
  <c r="H46" i="14"/>
  <c r="U45" i="14"/>
  <c r="S45" i="14"/>
  <c r="Q45" i="14"/>
  <c r="P45" i="14"/>
  <c r="N45" i="14"/>
  <c r="M45" i="14"/>
  <c r="L45" i="14"/>
  <c r="H45" i="14"/>
  <c r="U44" i="14"/>
  <c r="S44" i="14"/>
  <c r="Q44" i="14"/>
  <c r="P44" i="14"/>
  <c r="N44" i="14"/>
  <c r="M44" i="14"/>
  <c r="L44" i="14"/>
  <c r="H44" i="14"/>
  <c r="U43" i="14"/>
  <c r="S43" i="14"/>
  <c r="Q43" i="14"/>
  <c r="P43" i="14"/>
  <c r="N43" i="14"/>
  <c r="M43" i="14"/>
  <c r="L43" i="14"/>
  <c r="H43" i="14"/>
  <c r="U42" i="14"/>
  <c r="S42" i="14"/>
  <c r="Q42" i="14"/>
  <c r="P42" i="14"/>
  <c r="N42" i="14"/>
  <c r="M42" i="14"/>
  <c r="L42" i="14"/>
  <c r="H42" i="14"/>
  <c r="U41" i="14"/>
  <c r="S41" i="14"/>
  <c r="Q41" i="14"/>
  <c r="P41" i="14"/>
  <c r="N41" i="14"/>
  <c r="M41" i="14"/>
  <c r="L41" i="14"/>
  <c r="H41" i="14"/>
  <c r="U40" i="14"/>
  <c r="S40" i="14"/>
  <c r="Q40" i="14"/>
  <c r="P40" i="14"/>
  <c r="N40" i="14"/>
  <c r="M40" i="14"/>
  <c r="L40" i="14"/>
  <c r="H40" i="14"/>
  <c r="U35" i="14"/>
  <c r="S35" i="14"/>
  <c r="Q35" i="14"/>
  <c r="P35" i="14"/>
  <c r="N35" i="14"/>
  <c r="M35" i="14"/>
  <c r="L35" i="14"/>
  <c r="H35" i="14"/>
  <c r="U34" i="14"/>
  <c r="S34" i="14"/>
  <c r="Q34" i="14"/>
  <c r="P34" i="14"/>
  <c r="N34" i="14"/>
  <c r="M34" i="14"/>
  <c r="L34" i="14"/>
  <c r="H34" i="14"/>
  <c r="U33" i="14"/>
  <c r="S33" i="14"/>
  <c r="Q33" i="14"/>
  <c r="P33" i="14"/>
  <c r="N33" i="14"/>
  <c r="M33" i="14"/>
  <c r="L33" i="14"/>
  <c r="H33" i="14"/>
  <c r="U32" i="14"/>
  <c r="S32" i="14"/>
  <c r="Q32" i="14"/>
  <c r="P32" i="14"/>
  <c r="N32" i="14"/>
  <c r="M32" i="14"/>
  <c r="L32" i="14"/>
  <c r="H32" i="14"/>
  <c r="U31" i="14"/>
  <c r="S31" i="14"/>
  <c r="Q31" i="14"/>
  <c r="P31" i="14"/>
  <c r="N31" i="14"/>
  <c r="M31" i="14"/>
  <c r="L31" i="14"/>
  <c r="H31" i="14"/>
  <c r="U29" i="14"/>
  <c r="S29" i="14"/>
  <c r="Q29" i="14"/>
  <c r="P29" i="14"/>
  <c r="N29" i="14"/>
  <c r="M29" i="14"/>
  <c r="L29" i="14"/>
  <c r="H29" i="14"/>
  <c r="U28" i="14"/>
  <c r="S28" i="14"/>
  <c r="Q28" i="14"/>
  <c r="P28" i="14"/>
  <c r="N28" i="14"/>
  <c r="M28" i="14"/>
  <c r="L28" i="14"/>
  <c r="H28" i="14"/>
  <c r="U27" i="14"/>
  <c r="S27" i="14"/>
  <c r="Q27" i="14"/>
  <c r="P27" i="14"/>
  <c r="N27" i="14"/>
  <c r="M27" i="14"/>
  <c r="L27" i="14"/>
  <c r="H27" i="14"/>
  <c r="U26" i="14"/>
  <c r="S26" i="14"/>
  <c r="Q26" i="14"/>
  <c r="P26" i="14"/>
  <c r="N26" i="14"/>
  <c r="M26" i="14"/>
  <c r="L26" i="14"/>
  <c r="H26" i="14"/>
  <c r="U25" i="14"/>
  <c r="S25" i="14"/>
  <c r="Q25" i="14"/>
  <c r="P25" i="14"/>
  <c r="N25" i="14"/>
  <c r="M25" i="14"/>
  <c r="L25" i="14"/>
  <c r="H25" i="14"/>
  <c r="U24" i="14"/>
  <c r="S24" i="14"/>
  <c r="Q24" i="14"/>
  <c r="P24" i="14"/>
  <c r="N24" i="14"/>
  <c r="M24" i="14"/>
  <c r="L24" i="14"/>
  <c r="H24" i="14"/>
  <c r="U23" i="14"/>
  <c r="S23" i="14"/>
  <c r="Q23" i="14"/>
  <c r="P23" i="14"/>
  <c r="N23" i="14"/>
  <c r="M23" i="14"/>
  <c r="L23" i="14"/>
  <c r="H23" i="14"/>
  <c r="U18" i="14"/>
  <c r="S18" i="14"/>
  <c r="Q18" i="14"/>
  <c r="P18" i="14"/>
  <c r="N18" i="14"/>
  <c r="M18" i="14"/>
  <c r="L18" i="14"/>
  <c r="H18" i="14"/>
  <c r="U17" i="14"/>
  <c r="S17" i="14"/>
  <c r="Q17" i="14"/>
  <c r="P17" i="14"/>
  <c r="N17" i="14"/>
  <c r="M17" i="14"/>
  <c r="L17" i="14"/>
  <c r="H17" i="14"/>
  <c r="U16" i="14"/>
  <c r="S16" i="14"/>
  <c r="Q16" i="14"/>
  <c r="P16" i="14"/>
  <c r="N16" i="14"/>
  <c r="M16" i="14"/>
  <c r="L16" i="14"/>
  <c r="H16" i="14"/>
  <c r="U15" i="14"/>
  <c r="S15" i="14"/>
  <c r="Q15" i="14"/>
  <c r="P15" i="14"/>
  <c r="N15" i="14"/>
  <c r="M15" i="14"/>
  <c r="L15" i="14"/>
  <c r="H15" i="14"/>
  <c r="U14" i="14"/>
  <c r="S14" i="14"/>
  <c r="Q14" i="14"/>
  <c r="P14" i="14"/>
  <c r="N14" i="14"/>
  <c r="M14" i="14"/>
  <c r="L14" i="14"/>
  <c r="H14" i="14"/>
  <c r="U12" i="14"/>
  <c r="S12" i="14"/>
  <c r="Q12" i="14"/>
  <c r="P12" i="14"/>
  <c r="N12" i="14"/>
  <c r="M12" i="14"/>
  <c r="L12" i="14"/>
  <c r="H12" i="14"/>
  <c r="U11" i="14"/>
  <c r="S11" i="14"/>
  <c r="Q11" i="14"/>
  <c r="P11" i="14"/>
  <c r="N11" i="14"/>
  <c r="M11" i="14"/>
  <c r="L11" i="14"/>
  <c r="H11" i="14"/>
  <c r="U10" i="14"/>
  <c r="S10" i="14"/>
  <c r="Q10" i="14"/>
  <c r="P10" i="14"/>
  <c r="N10" i="14"/>
  <c r="M10" i="14"/>
  <c r="L10" i="14"/>
  <c r="H10" i="14"/>
  <c r="U9" i="14"/>
  <c r="S9" i="14"/>
  <c r="Q9" i="14"/>
  <c r="P9" i="14"/>
  <c r="N9" i="14"/>
  <c r="M9" i="14"/>
  <c r="L9" i="14"/>
  <c r="H9" i="14"/>
  <c r="U8" i="14"/>
  <c r="S8" i="14"/>
  <c r="Q8" i="14"/>
  <c r="P8" i="14"/>
  <c r="N8" i="14"/>
  <c r="M8" i="14"/>
  <c r="L8" i="14"/>
  <c r="H8" i="14"/>
  <c r="U7" i="14"/>
  <c r="S7" i="14"/>
  <c r="Q7" i="14"/>
  <c r="P7" i="14"/>
  <c r="N7" i="14"/>
  <c r="M7" i="14"/>
  <c r="L7" i="14"/>
  <c r="H7" i="14"/>
  <c r="U6" i="14"/>
  <c r="S6" i="14"/>
  <c r="Q6" i="14"/>
  <c r="P6" i="14"/>
  <c r="N6" i="14"/>
  <c r="M6" i="14"/>
  <c r="L6" i="14"/>
  <c r="H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U30" i="14" l="1"/>
  <c r="L30" i="14"/>
  <c r="Q30" i="14"/>
  <c r="L47" i="14"/>
  <c r="H30" i="14"/>
  <c r="M30" i="14"/>
  <c r="H47" i="14"/>
  <c r="P30" i="14"/>
  <c r="N30" i="14"/>
  <c r="S30" i="14"/>
  <c r="S47" i="14"/>
  <c r="Q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H33" i="31"/>
  <c r="L33" i="31"/>
  <c r="M33" i="31"/>
  <c r="N33" i="31"/>
  <c r="P33" i="31"/>
  <c r="Q33" i="31"/>
  <c r="S33" i="31"/>
  <c r="U33" i="31"/>
  <c r="H22" i="31"/>
  <c r="L22" i="31"/>
  <c r="M22" i="31"/>
  <c r="N22" i="31"/>
  <c r="P22" i="31"/>
  <c r="Q22" i="31"/>
  <c r="S22" i="31"/>
  <c r="U22" i="31"/>
  <c r="H11" i="31"/>
  <c r="L11" i="31"/>
  <c r="M11" i="31"/>
  <c r="N11" i="31"/>
  <c r="P11" i="31"/>
  <c r="Q11" i="31"/>
  <c r="S11" i="31"/>
  <c r="U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S5" i="14"/>
  <c r="H13" i="14"/>
  <c r="L5" i="14"/>
  <c r="L13" i="14"/>
  <c r="P5" i="14"/>
  <c r="M13" i="14"/>
  <c r="Q13" i="14"/>
  <c r="U13" i="14"/>
  <c r="M5" i="14"/>
  <c r="Q5" i="14"/>
  <c r="U5" i="14"/>
  <c r="U4" i="14" l="1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P39" i="14"/>
  <c r="H39" i="14"/>
  <c r="P38" i="14" l="1"/>
  <c r="E21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O12" i="31" l="1"/>
  <c r="O34" i="31"/>
  <c r="O24" i="31"/>
  <c r="O13" i="31"/>
  <c r="O35" i="31"/>
  <c r="O23" i="31"/>
  <c r="O51" i="14"/>
  <c r="O49" i="14"/>
  <c r="O46" i="14"/>
  <c r="O44" i="14"/>
  <c r="O42" i="14"/>
  <c r="O40" i="14"/>
  <c r="O34" i="14"/>
  <c r="O32" i="14"/>
  <c r="O29" i="14"/>
  <c r="O27" i="14"/>
  <c r="O25" i="14"/>
  <c r="O23" i="14"/>
  <c r="O17" i="14"/>
  <c r="O15" i="14"/>
  <c r="O12" i="14"/>
  <c r="O10" i="14"/>
  <c r="O8" i="14"/>
  <c r="O6" i="14"/>
  <c r="O7" i="14"/>
  <c r="O52" i="14"/>
  <c r="O50" i="14"/>
  <c r="O48" i="14"/>
  <c r="O45" i="14"/>
  <c r="O43" i="14"/>
  <c r="O41" i="14"/>
  <c r="O35" i="14"/>
  <c r="O33" i="14"/>
  <c r="O31" i="14"/>
  <c r="O28" i="14"/>
  <c r="O26" i="14"/>
  <c r="O24" i="14"/>
  <c r="O18" i="14"/>
  <c r="O16" i="14"/>
  <c r="O14" i="14"/>
  <c r="O11" i="14"/>
  <c r="O9" i="14"/>
  <c r="F12" i="31"/>
  <c r="F34" i="31"/>
  <c r="F24" i="31"/>
  <c r="F13" i="31"/>
  <c r="F35" i="31"/>
  <c r="F23" i="31"/>
  <c r="F51" i="14"/>
  <c r="F49" i="14"/>
  <c r="F46" i="14"/>
  <c r="F44" i="14"/>
  <c r="F42" i="14"/>
  <c r="F40" i="14"/>
  <c r="F34" i="14"/>
  <c r="F32" i="14"/>
  <c r="F29" i="14"/>
  <c r="F27" i="14"/>
  <c r="F25" i="14"/>
  <c r="F23" i="14"/>
  <c r="F17" i="14"/>
  <c r="F15" i="14"/>
  <c r="F12" i="14"/>
  <c r="F10" i="14"/>
  <c r="F8" i="14"/>
  <c r="F6" i="14"/>
  <c r="F7" i="14"/>
  <c r="F52" i="14"/>
  <c r="F50" i="14"/>
  <c r="F48" i="14"/>
  <c r="F45" i="14"/>
  <c r="F43" i="14"/>
  <c r="F41" i="14"/>
  <c r="F35" i="14"/>
  <c r="F33" i="14"/>
  <c r="F31" i="14"/>
  <c r="F28" i="14"/>
  <c r="F26" i="14"/>
  <c r="F24" i="14"/>
  <c r="F18" i="14"/>
  <c r="F16" i="14"/>
  <c r="F14" i="14"/>
  <c r="F11" i="14"/>
  <c r="F9" i="14"/>
  <c r="J12" i="3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L39" i="14"/>
  <c r="Y83" i="17"/>
  <c r="Z83" i="17"/>
  <c r="Y82" i="17"/>
  <c r="Z82" i="17"/>
  <c r="F5" i="14" l="1"/>
  <c r="F22" i="31"/>
  <c r="O39" i="14"/>
  <c r="F13" i="14"/>
  <c r="O22" i="31"/>
  <c r="F30" i="14"/>
  <c r="F39" i="14"/>
  <c r="F33" i="31"/>
  <c r="O13" i="14"/>
  <c r="O47" i="14"/>
  <c r="O5" i="14"/>
  <c r="O33" i="31"/>
  <c r="F11" i="31"/>
  <c r="F47" i="14"/>
  <c r="O30" i="14"/>
  <c r="O11" i="31"/>
  <c r="J30" i="14"/>
  <c r="J22" i="31"/>
  <c r="J33" i="31"/>
  <c r="J47" i="14"/>
  <c r="J11" i="31"/>
  <c r="N4" i="14"/>
  <c r="C19" i="32" s="1"/>
  <c r="N38" i="14"/>
  <c r="L38" i="14"/>
  <c r="Y10" i="17"/>
  <c r="Z10" i="17"/>
  <c r="F4" i="14" l="1"/>
  <c r="C8" i="32" s="1"/>
  <c r="F38" i="14"/>
  <c r="F25" i="34" s="1"/>
  <c r="O38" i="14"/>
  <c r="O25" i="34" s="1"/>
  <c r="O4" i="14"/>
  <c r="O9" i="34" s="1"/>
  <c r="N9" i="34"/>
  <c r="L25" i="34"/>
  <c r="L26" i="34" s="1"/>
  <c r="E17" i="32"/>
  <c r="N25" i="34"/>
  <c r="E19" i="32"/>
  <c r="Z81" i="17"/>
  <c r="Y81" i="17"/>
  <c r="F9" i="34" l="1"/>
  <c r="E8" i="32"/>
  <c r="E20" i="32"/>
  <c r="C20" i="32"/>
  <c r="D19" i="3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D27" i="12"/>
  <c r="D73" i="12" s="1"/>
  <c r="W16" i="34"/>
  <c r="E27" i="12"/>
  <c r="E73" i="12" s="1"/>
  <c r="W24" i="34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W12" i="31" l="1"/>
  <c r="W24" i="31"/>
  <c r="W13" i="31"/>
  <c r="W23" i="31"/>
  <c r="W34" i="31"/>
  <c r="W35" i="31"/>
  <c r="W50" i="14"/>
  <c r="W45" i="14"/>
  <c r="W41" i="14"/>
  <c r="W51" i="14"/>
  <c r="W46" i="14"/>
  <c r="W42" i="14"/>
  <c r="W34" i="14"/>
  <c r="W29" i="14"/>
  <c r="W25" i="14"/>
  <c r="W17" i="14"/>
  <c r="W12" i="14"/>
  <c r="W8" i="14"/>
  <c r="W14" i="14"/>
  <c r="W28" i="14"/>
  <c r="W24" i="14"/>
  <c r="W16" i="14"/>
  <c r="W52" i="14"/>
  <c r="W48" i="14"/>
  <c r="W43" i="14"/>
  <c r="W35" i="14"/>
  <c r="W31" i="14"/>
  <c r="W26" i="14"/>
  <c r="W18" i="14"/>
  <c r="W9" i="14"/>
  <c r="W11" i="14"/>
  <c r="W49" i="14"/>
  <c r="W44" i="14"/>
  <c r="W40" i="14"/>
  <c r="W32" i="14"/>
  <c r="W27" i="14"/>
  <c r="W23" i="14"/>
  <c r="W15" i="14"/>
  <c r="W10" i="14"/>
  <c r="W6" i="14"/>
  <c r="W33" i="14"/>
  <c r="W7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W22" i="31" l="1"/>
  <c r="W33" i="31"/>
  <c r="W5" i="14"/>
  <c r="W47" i="14"/>
  <c r="W30" i="14"/>
  <c r="W13" i="14"/>
  <c r="W39" i="14"/>
  <c r="W11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W4" i="14" l="1"/>
  <c r="C31" i="32" s="1"/>
  <c r="C30" i="32" s="1"/>
  <c r="W38" i="14"/>
  <c r="V38" i="14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W9" i="34" l="1"/>
  <c r="W10" i="34" s="1"/>
  <c r="W25" i="34"/>
  <c r="W26" i="34" s="1"/>
  <c r="E31" i="32"/>
  <c r="E30" i="32" s="1"/>
  <c r="J25" i="34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<sst xmlns="http://schemas.openxmlformats.org/spreadsheetml/2006/main" count="14124" uniqueCount="5321">
  <si>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</si>
  <si>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</si>
  <si>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</si>
  <si>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</si>
  <si>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</si>
  <si>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</si>
  <si>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</si>
  <si>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</si>
  <si>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</si>
  <si>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</si>
  <si>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</si>
  <si>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</si>
  <si>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</si>
  <si>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</si>
  <si>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</si>
  <si>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</si>
  <si>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</si>
  <si>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</si>
  <si>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</si>
  <si>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</si>
  <si>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</si>
  <si>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</si>
  <si>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</si>
  <si>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</si>
  <si>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</si>
  <si>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</si>
  <si>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</si>
  <si>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</si>
  <si>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</si>
  <si>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</si>
  <si>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</si>
  <si>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</si>
  <si>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</si>
  <si>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</si>
  <si>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</si>
  <si>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</si>
  <si>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</si>
  <si>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</si>
  <si>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</si>
  <si>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</si>
  <si>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</si>
  <si>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</si>
  <si>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</si>
  <si>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</si>
  <si>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</si>
  <si>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</si>
  <si>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</si>
  <si>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</si>
  <si>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</si>
  <si>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</si>
  <si>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</si>
  <si>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</si>
  <si>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</si>
  <si>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</si>
  <si>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</si>
  <si>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</si>
  <si>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</si>
  <si>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</si>
  <si>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</si>
  <si>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</si>
  <si>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</si>
  <si>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</si>
  <si>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</si>
  <si>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</si>
  <si>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</si>
  <si>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</si>
  <si>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</si>
  <si>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</si>
  <si>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</si>
  <si>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</si>
  <si>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</si>
  <si>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</si>
  <si>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</si>
  <si>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</si>
  <si>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</si>
  <si>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</si>
  <si>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</si>
  <si>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</si>
  <si>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</si>
  <si>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</si>
  <si>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</si>
  <si>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</si>
  <si>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</si>
  <si>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</si>
  <si>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</si>
  <si>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</si>
  <si>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</si>
  <si>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</si>
  <si>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</si>
  <si>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</si>
  <si>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</si>
  <si>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</si>
  <si>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</si>
  <si>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</si>
  <si>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</si>
  <si>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</si>
  <si>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</si>
  <si>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</si>
  <si>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</si>
  <si>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</si>
  <si>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</si>
  <si>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</si>
  <si>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</si>
  <si>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</si>
  <si>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</si>
  <si>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</si>
  <si>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</si>
  <si>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</si>
  <si>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</si>
  <si>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</si>
  <si>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</si>
  <si>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</si>
  <si>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</si>
  <si>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</si>
  <si>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</si>
  <si>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</si>
  <si>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</si>
  <si>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</si>
  <si>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</si>
  <si>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</si>
  <si>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</si>
  <si>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</si>
  <si>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</si>
  <si>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</si>
  <si>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</si>
  <si>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</si>
  <si>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</si>
  <si>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</si>
  <si>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</si>
  <si>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</si>
  <si>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</si>
  <si>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</si>
  <si>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</si>
  <si>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</si>
  <si>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</si>
  <si>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</si>
  <si>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</si>
  <si>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</si>
  <si>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</si>
  <si>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</si>
  <si>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</si>
  <si>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</si>
  <si>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</si>
  <si>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</si>
  <si>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</si>
  <si>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</si>
  <si>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</si>
  <si>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</si>
  <si>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</si>
  <si>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</si>
  <si>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</si>
  <si>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</si>
  <si>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</si>
  <si>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</si>
  <si>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</si>
  <si>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</si>
  <si>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</si>
  <si>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</si>
  <si>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</si>
  <si>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</si>
  <si>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</si>
  <si>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</si>
  <si>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</si>
  <si>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</si>
  <si>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</si>
  <si>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</si>
  <si>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</si>
  <si>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</si>
  <si>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</si>
  <si>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</si>
  <si>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</si>
  <si>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</si>
  <si>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</si>
  <si>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</si>
  <si>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</si>
  <si>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</si>
  <si>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</si>
  <si>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</si>
  <si>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</si>
  <si>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</si>
  <si>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</si>
  <si>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</si>
  <si>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</si>
  <si>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</si>
  <si>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</si>
  <si>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</si>
  <si>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</si>
  <si>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</si>
  <si>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</si>
  <si>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</si>
  <si>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</si>
  <si>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</si>
  <si>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</si>
  <si>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</si>
  <si>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</si>
  <si>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</si>
  <si>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</si>
  <si>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</si>
  <si>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</si>
  <si>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</si>
  <si>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</si>
  <si>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</si>
  <si>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</si>
  <si>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</si>
  <si>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</si>
  <si>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</si>
  <si>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</si>
  <si>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</si>
  <si>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</si>
  <si>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</si>
  <si>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</si>
  <si>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</si>
  <si>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</si>
  <si>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</si>
  <si>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</si>
  <si>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</si>
  <si>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</si>
  <si>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</si>
  <si>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</si>
  <si>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</si>
  <si>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</si>
  <si>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</si>
  <si>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</si>
  <si>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</si>
  <si>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</si>
  <si>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</si>
  <si>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</si>
  <si>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</si>
  <si>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</si>
  <si>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</si>
  <si>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</si>
  <si>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</si>
  <si>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</si>
  <si>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</si>
  <si>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</si>
  <si>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</si>
  <si>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</si>
  <si>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</si>
  <si>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</si>
  <si>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</si>
  <si>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</si>
  <si>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</si>
  <si>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</si>
  <si>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</si>
  <si>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</si>
  <si>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</si>
  <si>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</si>
  <si>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</si>
  <si>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</si>
  <si>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</si>
  <si>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</si>
  <si>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</si>
  <si>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</si>
  <si>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</si>
  <si>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</si>
  <si>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</si>
  <si>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</si>
  <si>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</si>
  <si>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</si>
  <si>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</si>
  <si>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</si>
  <si>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</si>
  <si>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</si>
  <si>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</si>
  <si>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</si>
  <si>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</si>
  <si>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</si>
  <si>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</si>
  <si>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</si>
  <si>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</si>
  <si>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</si>
  <si>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</si>
  <si>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</si>
  <si>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</si>
  <si>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</si>
  <si>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</si>
  <si>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</si>
  <si>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</si>
  <si>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</si>
  <si>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</si>
  <si>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</si>
  <si>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</si>
  <si>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</si>
  <si>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</si>
  <si>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</si>
  <si>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</si>
  <si>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</si>
  <si>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</si>
  <si>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</si>
  <si>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</si>
  <si>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</si>
  <si>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</si>
  <si>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</si>
  <si>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</si>
  <si>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</si>
  <si>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</si>
  <si>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</si>
  <si>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</si>
  <si>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</si>
  <si>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</si>
  <si>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</si>
  <si>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</si>
  <si>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</si>
  <si>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</si>
  <si>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</si>
  <si>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</si>
  <si>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</si>
  <si>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</si>
  <si>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</si>
  <si>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</si>
  <si>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</si>
  <si>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</si>
  <si>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</si>
  <si>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</si>
  <si>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</si>
  <si>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</si>
  <si>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</si>
  <si>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</si>
  <si>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</si>
  <si>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</si>
  <si>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</si>
  <si>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</si>
  <si>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</si>
  <si>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</si>
  <si>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</si>
  <si>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</si>
  <si>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</si>
  <si>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</si>
  <si>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</si>
  <si>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</si>
  <si>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</si>
  <si>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</si>
  <si>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</si>
  <si>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</si>
  <si>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</si>
  <si>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</si>
  <si>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</si>
  <si>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</si>
  <si>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</si>
  <si>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</si>
  <si>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</si>
  <si>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</si>
  <si>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</si>
  <si>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</si>
  <si>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</si>
  <si>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</si>
  <si>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</si>
  <si>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</si>
  <si>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</si>
  <si>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</si>
  <si>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</si>
  <si>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</si>
  <si>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</si>
  <si>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</si>
  <si>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</si>
  <si>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</si>
  <si>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</si>
  <si>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</si>
  <si>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</si>
  <si>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</si>
  <si>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</si>
  <si>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</si>
  <si>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</si>
  <si>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</si>
  <si>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</si>
  <si>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</si>
  <si>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</si>
  <si>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</si>
  <si>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</si>
  <si>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</si>
  <si>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</si>
  <si>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</si>
  <si>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</si>
  <si>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</si>
  <si>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</si>
  <si>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</si>
  <si>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</si>
  <si>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</si>
  <si>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</si>
  <si>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</si>
  <si>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</si>
  <si>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</si>
  <si>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</si>
  <si>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</si>
  <si>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</si>
  <si>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</si>
  <si>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</si>
  <si>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</si>
  <si>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</si>
  <si>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</si>
  <si>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</si>
  <si>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</si>
  <si>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</si>
  <si>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</si>
  <si>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</si>
  <si>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</si>
  <si>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</si>
  <si>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</si>
  <si>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</si>
  <si>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</si>
  <si>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</si>
  <si>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</si>
  <si>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</si>
  <si>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</si>
  <si>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</si>
  <si>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</si>
  <si>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</si>
  <si>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</si>
  <si>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</si>
  <si>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</si>
  <si>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</si>
  <si>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</si>
  <si>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</si>
  <si>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</si>
  <si>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</si>
  <si>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</si>
  <si>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</si>
  <si>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</si>
  <si>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</si>
  <si>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</si>
  <si>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</si>
  <si>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</si>
  <si>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</si>
  <si>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</si>
  <si>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</si>
  <si>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</si>
  <si>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</si>
  <si>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</si>
  <si>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</si>
  <si>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</si>
  <si>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</si>
  <si>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</si>
  <si>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</si>
  <si>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</si>
  <si>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</si>
  <si>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</si>
  <si>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</si>
  <si>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</si>
  <si>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</si>
  <si>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</si>
  <si>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</si>
  <si>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</si>
  <si>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</si>
  <si>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</si>
  <si>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</si>
  <si>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</si>
  <si>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</si>
  <si>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</si>
  <si>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</si>
  <si>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</si>
  <si>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</si>
  <si>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</si>
  <si>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</si>
  <si>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</si>
  <si>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</si>
  <si>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</si>
  <si>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</si>
  <si>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</si>
  <si>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</si>
  <si>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</si>
  <si>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</si>
  <si>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</si>
  <si>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</si>
  <si>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</si>
  <si>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</si>
  <si>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</si>
  <si>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</si>
  <si>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</si>
  <si>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</si>
  <si>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</si>
  <si>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</si>
  <si>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</si>
  <si>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</si>
  <si>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</si>
  <si>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</si>
  <si>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</si>
  <si>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</si>
  <si>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</si>
  <si>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</si>
  <si>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</si>
  <si>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</si>
  <si>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</si>
  <si>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</si>
  <si>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</si>
  <si>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</si>
  <si>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</si>
  <si>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</si>
  <si>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</si>
  <si>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</si>
  <si>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</si>
  <si>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</si>
  <si>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</si>
  <si>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</si>
  <si>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</si>
  <si>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</si>
  <si>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</si>
  <si>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</si>
  <si>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</si>
  <si>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</si>
  <si>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</si>
  <si>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</si>
  <si>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</si>
  <si>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</si>
  <si>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</si>
  <si>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</si>
  <si>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</si>
  <si>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</si>
  <si>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</si>
  <si>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</si>
  <si>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</si>
  <si>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</si>
  <si>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</si>
  <si>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</si>
  <si>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</si>
  <si>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</si>
  <si>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</si>
  <si>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</si>
  <si>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</si>
  <si>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</si>
  <si>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</si>
  <si>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</si>
  <si>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</si>
  <si>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</si>
  <si>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</si>
  <si>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</si>
  <si>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</si>
  <si>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</si>
  <si>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</si>
  <si>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</si>
  <si>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</si>
  <si>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</si>
  <si>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</si>
  <si>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</si>
  <si>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</si>
  <si>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</si>
  <si>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</si>
  <si>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</si>
  <si>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</si>
  <si>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</si>
  <si>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</si>
  <si>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</si>
  <si>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</si>
  <si>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</si>
  <si>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</si>
  <si>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</si>
  <si>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</si>
  <si>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</si>
  <si>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</si>
  <si>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</si>
  <si>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</si>
  <si>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</si>
  <si>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</si>
  <si>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</si>
  <si>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</si>
  <si>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</si>
  <si>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</si>
  <si>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</si>
  <si>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</si>
  <si>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</si>
  <si>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</si>
  <si>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</si>
  <si>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</si>
  <si>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</si>
  <si>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</si>
  <si>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</si>
  <si>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</si>
  <si>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</si>
  <si>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</si>
  <si>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</si>
  <si>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</si>
  <si>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</si>
  <si>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</si>
  <si>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</si>
  <si>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</si>
  <si>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</si>
  <si>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</si>
  <si>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</si>
  <si>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</si>
  <si>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</si>
  <si>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</si>
  <si>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</si>
  <si>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</si>
  <si>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</si>
  <si>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</si>
  <si>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</si>
  <si>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</si>
  <si>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</si>
  <si>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</si>
  <si>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</si>
  <si>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</si>
  <si>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</si>
  <si>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</si>
  <si>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</si>
  <si>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</si>
  <si>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</si>
  <si>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</si>
  <si>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</si>
  <si>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</si>
  <si>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</si>
  <si>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</si>
  <si>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</si>
  <si>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</si>
  <si>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</si>
  <si>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</si>
  <si>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</si>
  <si>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</si>
  <si>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</si>
  <si>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</si>
  <si>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</si>
  <si>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</si>
  <si>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</si>
  <si>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</si>
  <si>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</si>
  <si>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</si>
  <si>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</si>
  <si>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</si>
  <si>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</si>
  <si>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</si>
  <si>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</si>
  <si>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</si>
  <si>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</si>
  <si>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</si>
  <si>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</si>
  <si>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</si>
  <si>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</si>
  <si>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</si>
  <si>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</si>
  <si>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</si>
  <si>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</si>
  <si>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</si>
  <si>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</si>
  <si>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</si>
  <si>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</si>
  <si>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</si>
  <si>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</si>
  <si>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</si>
  <si>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</si>
  <si>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</si>
  <si>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</si>
  <si>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</si>
  <si>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</si>
  <si>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</si>
  <si>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</si>
  <si>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</si>
  <si>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</si>
  <si>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</si>
  <si>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</si>
  <si>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</si>
  <si>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</si>
  <si>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</si>
  <si>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</si>
  <si>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</si>
  <si>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</si>
  <si>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</si>
  <si>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</si>
  <si>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</si>
  <si>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</si>
  <si>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</si>
  <si>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</si>
  <si>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</si>
  <si>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</si>
  <si>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</si>
  <si>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</si>
  <si>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</si>
  <si>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</si>
  <si>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</si>
  <si>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</si>
  <si>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</si>
  <si>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</si>
  <si>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</si>
  <si>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</si>
  <si>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</si>
  <si>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</si>
  <si>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</si>
  <si>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</si>
  <si>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</si>
  <si>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</si>
  <si>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</si>
  <si>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</si>
  <si>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</si>
  <si>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</si>
  <si>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</si>
  <si>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</si>
  <si>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</si>
  <si>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</si>
  <si>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</si>
  <si>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</si>
  <si>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</si>
  <si>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</si>
  <si>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</si>
  <si>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</si>
  <si>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</si>
  <si>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</si>
  <si>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</si>
  <si>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</si>
  <si>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</si>
  <si>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</si>
  <si>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</si>
  <si>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</si>
  <si>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</si>
  <si>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</si>
  <si>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</si>
  <si>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</si>
  <si>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</si>
  <si>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</si>
  <si>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</si>
  <si>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</si>
  <si>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</si>
  <si>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</si>
  <si>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</si>
  <si>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</si>
  <si>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</si>
  <si>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</si>
  <si>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</si>
  <si>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</si>
  <si>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</si>
  <si>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</si>
  <si>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</si>
  <si>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</si>
  <si>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</si>
  <si>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</si>
  <si>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</si>
  <si>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</si>
  <si>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</si>
  <si>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</si>
  <si>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</si>
  <si>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</si>
  <si>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</si>
  <si>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</si>
  <si>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</si>
  <si>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</si>
  <si>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</si>
  <si>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</si>
  <si>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</si>
  <si>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</si>
  <si>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</si>
  <si>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</si>
  <si>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</si>
  <si>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</si>
  <si>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</si>
  <si>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</si>
  <si>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</si>
  <si>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</si>
  <si>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</si>
  <si>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</si>
  <si>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</si>
  <si>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</si>
  <si>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</si>
  <si>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</si>
  <si>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</si>
  <si>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</si>
  <si>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</si>
  <si>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</si>
  <si>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</si>
  <si>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</si>
  <si>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</si>
  <si>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</si>
  <si>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</si>
  <si>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</si>
  <si>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</si>
  <si>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</si>
  <si>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</si>
  <si>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</si>
  <si>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</si>
  <si>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</si>
  <si>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</si>
  <si>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</si>
  <si>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</si>
  <si>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</si>
  <si>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</si>
  <si>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</si>
  <si>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</si>
  <si>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</si>
  <si>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</si>
  <si>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</si>
  <si>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</si>
  <si>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</si>
  <si>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</si>
  <si>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</si>
  <si>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</si>
  <si>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</si>
  <si>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</si>
  <si>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</si>
  <si>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</si>
  <si>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</si>
  <si>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</si>
  <si>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</si>
  <si>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</si>
  <si>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</si>
  <si>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</si>
  <si>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</si>
  <si>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</si>
  <si>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</si>
  <si>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</si>
  <si>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</si>
  <si>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</si>
  <si>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</si>
  <si>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</si>
  <si>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</si>
  <si>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</si>
  <si>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</si>
  <si>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</si>
  <si>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</si>
  <si>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</si>
  <si>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</si>
  <si>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</si>
  <si>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</si>
  <si>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</si>
  <si>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</si>
  <si>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</si>
  <si>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</si>
  <si>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</si>
  <si>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</si>
  <si>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</si>
  <si>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</si>
  <si>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</si>
  <si>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</si>
  <si>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</si>
  <si>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</si>
  <si>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</si>
  <si>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</si>
  <si>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</si>
  <si>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</si>
  <si>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</si>
  <si>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</si>
  <si>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</si>
  <si>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</si>
  <si>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</si>
  <si>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</si>
  <si>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</si>
  <si>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</si>
  <si>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</si>
  <si>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</si>
  <si>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</si>
  <si>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</si>
  <si>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</si>
  <si>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</si>
  <si>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</si>
  <si>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</si>
  <si>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</si>
  <si>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</si>
  <si>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</si>
  <si>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</si>
  <si>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</si>
  <si>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</si>
  <si>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</si>
  <si>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</si>
  <si>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</si>
  <si>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</si>
  <si>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</si>
  <si>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</si>
  <si>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</si>
  <si>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</si>
  <si>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</si>
  <si>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</si>
  <si>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</si>
  <si>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</si>
  <si>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</si>
  <si>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</si>
  <si>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</si>
  <si>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</si>
  <si>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</si>
  <si>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</si>
  <si>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</si>
  <si>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</si>
  <si>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</si>
  <si>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</si>
  <si>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</si>
  <si>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</si>
  <si>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</si>
  <si>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</si>
  <si>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</si>
  <si>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</si>
  <si>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</si>
  <si>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</si>
  <si>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</si>
  <si>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</si>
  <si>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</si>
  <si>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</si>
  <si>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</si>
  <si>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</si>
  <si>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</si>
  <si>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</si>
  <si>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</si>
  <si>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</si>
  <si>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</si>
  <si>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</si>
  <si>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</si>
  <si>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</si>
  <si>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</si>
  <si>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</si>
  <si>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</si>
  <si>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</si>
  <si>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</si>
  <si>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</si>
  <si>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</si>
  <si>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</si>
  <si>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</si>
  <si>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</si>
  <si>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</si>
  <si>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</si>
  <si>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</si>
  <si>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</si>
  <si>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</si>
  <si>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</si>
  <si>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</si>
  <si>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</si>
  <si>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</si>
  <si>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</si>
  <si>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</si>
  <si>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</si>
  <si>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</si>
  <si>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</si>
  <si>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</si>
  <si>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</si>
  <si>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</si>
  <si>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</si>
  <si>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</si>
  <si>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</si>
  <si>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</si>
  <si>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</si>
  <si>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</si>
  <si>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</si>
  <si>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</si>
  <si>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</si>
  <si>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</si>
  <si>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</si>
  <si>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</si>
  <si>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</si>
  <si>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</si>
  <si>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</si>
  <si>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</si>
  <si>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</si>
  <si>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</si>
  <si>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</si>
  <si>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</si>
  <si>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</si>
  <si>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</si>
  <si>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</si>
  <si>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</si>
  <si>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</si>
  <si>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</si>
  <si>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</si>
  <si>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</si>
  <si>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</si>
  <si>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</si>
  <si>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</si>
  <si>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</si>
  <si>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</si>
  <si>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</si>
  <si>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</si>
  <si>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</si>
  <si>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</si>
  <si>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</si>
  <si>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</si>
  <si>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</si>
  <si>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</si>
  <si>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</si>
  <si>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</si>
  <si>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</si>
  <si>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</si>
  <si>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</si>
  <si>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</si>
  <si>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</si>
  <si>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</si>
  <si>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</si>
  <si>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</si>
  <si>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</si>
  <si>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</si>
  <si>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</si>
  <si>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</si>
  <si>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</si>
  <si>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</si>
  <si>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</si>
  <si>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</si>
  <si>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</si>
  <si>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</si>
  <si>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</si>
  <si>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</si>
  <si>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</si>
  <si>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</si>
  <si>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</si>
  <si>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</si>
  <si>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</si>
  <si>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</si>
  <si>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</si>
  <si>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</si>
  <si>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</si>
  <si>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</si>
  <si>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</si>
  <si>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</si>
  <si>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</si>
  <si>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</si>
  <si>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</si>
  <si>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</si>
  <si>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</si>
  <si>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</si>
  <si>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</si>
  <si>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</si>
  <si>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</si>
  <si>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</si>
  <si>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</si>
  <si>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</si>
  <si>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</si>
  <si>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</si>
  <si>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</si>
  <si>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</si>
  <si>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</si>
  <si>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</si>
  <si>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</si>
  <si>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</si>
  <si>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</si>
  <si>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</si>
  <si>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</si>
  <si>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</si>
  <si>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</si>
  <si>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</si>
  <si>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</si>
  <si>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</si>
  <si>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</si>
  <si>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</si>
  <si>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</si>
  <si>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</si>
  <si>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</si>
  <si>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</si>
  <si>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</si>
  <si>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</si>
  <si>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</si>
  <si>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</si>
  <si>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</si>
  <si>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</si>
  <si>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</si>
  <si>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</si>
  <si>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</si>
  <si>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</si>
  <si>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</si>
  <si>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</si>
  <si>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</si>
  <si>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</si>
  <si>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</si>
  <si>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</si>
  <si>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</si>
  <si>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</si>
  <si>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</si>
  <si>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</si>
  <si>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</si>
  <si>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</si>
  <si>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</si>
  <si>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</si>
  <si>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</si>
  <si>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</si>
  <si>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</si>
  <si>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</si>
  <si>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</si>
  <si>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</si>
  <si>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</si>
  <si>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</si>
  <si>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</si>
  <si>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</si>
  <si>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</si>
  <si>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</si>
  <si>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</si>
  <si>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</si>
  <si>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</si>
  <si>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</si>
  <si>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</si>
  <si>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</si>
  <si>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</si>
  <si>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</si>
  <si>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</si>
  <si>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</si>
  <si>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</si>
  <si>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</si>
  <si>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</si>
  <si>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</si>
  <si>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</si>
  <si>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</si>
  <si>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</si>
  <si>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</si>
  <si>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</si>
  <si>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</si>
  <si>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</si>
  <si>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</si>
  <si>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</si>
  <si>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</si>
  <si>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</si>
  <si>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</si>
  <si>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</si>
  <si>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</si>
  <si>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</si>
  <si>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</si>
  <si>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</si>
  <si>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</si>
  <si>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</si>
  <si>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</si>
  <si>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</si>
  <si>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</si>
  <si>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</si>
  <si>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</si>
  <si>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</si>
  <si>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</si>
  <si>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</si>
  <si>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</si>
  <si>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</si>
  <si>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</si>
  <si>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</si>
  <si>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</si>
  <si>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</si>
  <si>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</si>
  <si>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</si>
  <si>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</si>
  <si>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</si>
  <si>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</si>
  <si>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</si>
  <si>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</si>
  <si>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</si>
  <si>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</si>
  <si>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</si>
  <si>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</si>
  <si>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</si>
  <si>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</si>
  <si>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</si>
  <si>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</si>
  <si>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</si>
  <si>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</si>
  <si>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</si>
  <si>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</si>
  <si>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</si>
  <si>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</si>
  <si>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</si>
  <si>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</si>
  <si>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</si>
  <si>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</si>
  <si>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</si>
  <si>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</si>
  <si>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</si>
  <si>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</si>
  <si>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</si>
  <si>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</si>
  <si>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</si>
  <si>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</si>
  <si>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</si>
  <si>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</si>
  <si>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</si>
  <si>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</si>
  <si>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</si>
  <si>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</si>
  <si>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</si>
  <si>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</si>
  <si>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</si>
  <si>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</si>
  <si>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</si>
  <si>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</si>
  <si>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</si>
  <si>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</si>
  <si>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</si>
  <si>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</si>
  <si>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</si>
  <si>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</si>
  <si>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</si>
  <si>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</si>
  <si>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</si>
  <si>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</si>
  <si>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</si>
  <si>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</si>
  <si>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</si>
  <si>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</si>
  <si>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</si>
  <si>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</si>
  <si>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</si>
  <si>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</si>
  <si>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</si>
  <si>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</si>
  <si>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</si>
  <si>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</si>
  <si>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</si>
  <si>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</si>
  <si>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</si>
  <si>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</si>
  <si>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</si>
  <si>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</si>
  <si>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</si>
  <si>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</si>
  <si>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</si>
  <si>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</si>
  <si>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</si>
  <si>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</si>
  <si>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</si>
  <si>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</si>
  <si>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</si>
  <si>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</si>
  <si>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</si>
  <si>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</si>
  <si>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</si>
  <si>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</si>
  <si>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</si>
  <si>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</si>
  <si>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</si>
  <si>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</si>
  <si>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</si>
  <si>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</si>
  <si>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</si>
  <si>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</si>
  <si>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</si>
  <si>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</si>
  <si>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</si>
  <si>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</si>
  <si>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</si>
  <si>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</si>
  <si>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</si>
  <si>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</si>
  <si>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</si>
  <si>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</si>
  <si>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</si>
  <si>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</si>
  <si>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</si>
  <si>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</si>
  <si>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</si>
  <si>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</si>
  <si>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</si>
  <si>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</si>
  <si>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</si>
  <si>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</si>
  <si>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</si>
  <si>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</si>
  <si>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</si>
  <si>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</si>
  <si>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</si>
  <si>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</si>
  <si>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</si>
  <si>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</si>
  <si>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</si>
  <si>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</si>
  <si>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</si>
  <si>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</si>
  <si>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</si>
  <si>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</si>
  <si>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</si>
  <si>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</si>
  <si>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</si>
  <si>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</si>
  <si>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</si>
  <si>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</si>
  <si>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</si>
  <si>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</si>
  <si>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</si>
  <si>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</si>
  <si>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</si>
  <si>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</si>
  <si>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</si>
  <si>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</si>
  <si>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</si>
  <si>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</si>
  <si>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</si>
  <si>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</si>
  <si>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</si>
  <si>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</si>
  <si>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</si>
  <si>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</si>
  <si>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</si>
  <si>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</si>
  <si>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</si>
  <si>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</si>
  <si>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</si>
  <si>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</si>
  <si>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</si>
  <si>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</si>
  <si>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</si>
  <si>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</si>
  <si>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</si>
  <si>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</si>
  <si>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</si>
  <si>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</si>
  <si>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</si>
  <si>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</si>
  <si>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</si>
  <si>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</si>
  <si>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</si>
  <si>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</si>
  <si>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</si>
  <si>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</si>
  <si>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</si>
  <si>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</si>
  <si>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</si>
  <si>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</si>
  <si>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</si>
  <si>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</si>
  <si>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</si>
  <si>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</si>
  <si>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</si>
  <si>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</si>
  <si>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</si>
  <si>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</si>
  <si>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</si>
  <si>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</si>
  <si>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</si>
  <si>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</si>
  <si>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</si>
  <si>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</si>
  <si>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</si>
  <si>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</si>
  <si>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</si>
  <si>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</si>
  <si>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</si>
  <si>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</si>
  <si>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</si>
  <si>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</si>
  <si>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</si>
  <si>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</si>
  <si>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</si>
  <si>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</si>
  <si>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</si>
  <si>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</si>
  <si>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</si>
  <si>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</si>
  <si>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</si>
  <si>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</si>
  <si>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</si>
  <si>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</si>
  <si>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</si>
  <si>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</si>
  <si>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</si>
  <si>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</si>
  <si>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</si>
  <si>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</si>
  <si>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</si>
  <si>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</si>
  <si>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</si>
  <si>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</si>
  <si>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</si>
  <si>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</si>
  <si>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</si>
  <si>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</si>
  <si>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</si>
  <si>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</si>
  <si>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</si>
  <si>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</si>
  <si>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</si>
  <si>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</si>
  <si>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</si>
  <si>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</si>
  <si>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</si>
  <si>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</si>
  <si>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</si>
  <si>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</si>
  <si>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</si>
  <si>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</si>
  <si>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</si>
  <si>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</si>
  <si>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</si>
  <si>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</si>
  <si>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</si>
  <si>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</si>
  <si>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</si>
  <si>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</si>
  <si>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</si>
  <si>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</si>
  <si>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</si>
  <si>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</si>
  <si>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</si>
  <si>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</si>
  <si>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</si>
  <si>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</si>
  <si>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</si>
  <si>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</si>
  <si>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</si>
  <si>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</si>
  <si>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</si>
  <si>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</si>
  <si>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</si>
  <si>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</si>
  <si>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</si>
  <si>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</si>
  <si>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</si>
  <si>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</si>
  <si>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</si>
  <si>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</si>
  <si>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</si>
  <si>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</si>
  <si>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</si>
  <si>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</si>
  <si>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</si>
  <si>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</si>
  <si>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</si>
  <si>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</si>
  <si>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</si>
  <si>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</si>
  <si>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</si>
  <si>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</si>
  <si>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</si>
  <si>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</si>
  <si>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</si>
  <si>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</si>
  <si>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</si>
  <si>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</si>
  <si>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</si>
  <si>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</si>
  <si>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</si>
  <si>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</si>
  <si>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</si>
  <si>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</si>
  <si>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</si>
  <si>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</si>
  <si>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</si>
  <si>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</si>
  <si>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</si>
  <si>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</si>
  <si>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</si>
  <si>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</si>
  <si>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</si>
  <si>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</si>
  <si>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</si>
  <si>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</si>
  <si>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</si>
  <si>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</si>
  <si>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</si>
  <si>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</si>
  <si>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</si>
  <si>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</si>
  <si>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</si>
  <si>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</si>
  <si>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</si>
  <si>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</si>
  <si>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</si>
  <si>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</si>
  <si>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</si>
  <si>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</si>
  <si>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</si>
  <si>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</si>
  <si>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</si>
  <si>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</si>
  <si>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</si>
  <si>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</si>
  <si>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</si>
  <si>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</si>
  <si>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</si>
  <si>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</si>
  <si>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</si>
  <si>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</si>
  <si>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</si>
  <si>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</si>
  <si>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</si>
  <si>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</si>
  <si>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</si>
  <si>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</si>
  <si>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</si>
  <si>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</si>
  <si>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</si>
  <si>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</si>
  <si>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</si>
  <si>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</si>
  <si>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</si>
  <si>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</si>
  <si>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</si>
  <si>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</si>
  <si>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</si>
  <si>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</si>
  <si>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</si>
  <si>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</si>
  <si>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</si>
  <si>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</si>
  <si>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</si>
  <si>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</si>
  <si>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</si>
  <si>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</si>
  <si>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</si>
  <si>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</si>
  <si>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</si>
  <si>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</si>
  <si>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</si>
  <si>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</si>
  <si>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</si>
  <si>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</si>
  <si>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</si>
  <si>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</si>
  <si>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</si>
  <si>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</si>
  <si>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</si>
  <si>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</si>
  <si>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</si>
  <si>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</si>
  <si>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</si>
  <si>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</si>
  <si>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</si>
  <si>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</si>
  <si>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</si>
  <si>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</si>
  <si>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</si>
  <si>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</si>
  <si>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</si>
  <si>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</si>
  <si>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</si>
  <si>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</si>
  <si>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</si>
  <si>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</si>
  <si>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</si>
  <si>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</si>
  <si>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</si>
  <si>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</si>
  <si>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</si>
  <si>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</si>
  <si>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</si>
  <si>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</si>
  <si>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</si>
  <si>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</si>
  <si>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</si>
  <si>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</si>
  <si>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</si>
  <si>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</si>
  <si>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</si>
  <si>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</si>
  <si>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</si>
  <si>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</si>
  <si>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</si>
  <si>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</si>
  <si>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</si>
  <si>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</si>
  <si>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</si>
  <si>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</si>
  <si>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</si>
  <si>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</si>
  <si>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</si>
  <si>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</si>
  <si>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</si>
  <si>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</si>
  <si>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</si>
  <si>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</si>
  <si>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</si>
  <si>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</si>
  <si>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</si>
  <si>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</si>
  <si>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</si>
  <si>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</si>
  <si>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</si>
  <si>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</si>
  <si>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</si>
  <si>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</si>
  <si>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</si>
  <si>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</si>
  <si>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</si>
  <si>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</si>
  <si>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</si>
  <si>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</si>
  <si>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</si>
  <si>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</si>
  <si>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</si>
  <si>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</si>
  <si>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</si>
  <si>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</si>
  <si>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</si>
  <si>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</si>
  <si>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</si>
  <si>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</si>
  <si>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</si>
  <si>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</si>
  <si>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</si>
  <si>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</si>
  <si>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</si>
  <si>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</si>
  <si>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</si>
  <si>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</si>
  <si>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</si>
  <si>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</si>
  <si>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</si>
  <si>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</si>
  <si>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</si>
  <si>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</si>
  <si>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</si>
  <si>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</si>
  <si>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</si>
  <si>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</si>
  <si>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</si>
  <si>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</si>
  <si>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</si>
  <si>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</si>
  <si>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</si>
  <si>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</si>
  <si>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</si>
  <si>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</si>
  <si>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</si>
  <si>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</si>
  <si>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</si>
  <si>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</si>
  <si>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</si>
  <si>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</si>
  <si>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</si>
  <si>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</si>
  <si>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</si>
  <si>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</si>
  <si>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</si>
  <si>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</si>
  <si>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</si>
  <si>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</si>
  <si>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</si>
  <si>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</si>
  <si>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</si>
  <si>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</si>
  <si>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</si>
  <si>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</si>
  <si>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</si>
  <si>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</si>
  <si>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</si>
  <si>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</si>
  <si>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</si>
  <si>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</si>
  <si>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</si>
  <si>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</si>
  <si>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</si>
  <si>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</si>
  <si>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</si>
  <si>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</si>
  <si>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</si>
  <si>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</si>
  <si>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</si>
  <si>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</si>
  <si>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</si>
  <si>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</si>
  <si>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</si>
  <si>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</si>
  <si>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</si>
  <si>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</si>
  <si>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</si>
  <si>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</si>
  <si>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</si>
  <si>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</si>
  <si>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</si>
  <si>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</si>
  <si>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</si>
  <si>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</si>
  <si>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</si>
  <si>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</si>
  <si>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</si>
  <si>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</si>
  <si>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</si>
  <si>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</si>
  <si>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</si>
  <si>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</si>
  <si>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</si>
  <si>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</si>
  <si>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</si>
  <si>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</si>
  <si>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</si>
  <si>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</si>
  <si>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</si>
  <si>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</si>
  <si>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</si>
  <si>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</si>
  <si>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</si>
  <si>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</si>
  <si>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</si>
  <si>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</si>
  <si>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</si>
  <si>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</si>
  <si>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</si>
  <si>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</si>
  <si>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</si>
  <si>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</si>
  <si>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</si>
  <si>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</si>
  <si>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</si>
  <si>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</si>
  <si>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</si>
  <si>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</si>
  <si>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</si>
  <si>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</si>
  <si>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</si>
  <si>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</si>
  <si>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</si>
  <si>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</si>
  <si>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</si>
  <si>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</si>
  <si>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</si>
  <si>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</si>
  <si>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</si>
  <si>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</si>
  <si>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</si>
  <si>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</si>
  <si>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</si>
  <si>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</si>
  <si>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</si>
  <si>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</si>
  <si>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</si>
  <si>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</si>
  <si>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</si>
  <si>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</si>
  <si>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</si>
  <si>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</si>
  <si>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</si>
  <si>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</si>
  <si>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</si>
  <si>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</si>
  <si>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</si>
  <si>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</si>
  <si>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</si>
  <si>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</si>
  <si>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</si>
  <si>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</si>
  <si>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</si>
  <si>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</si>
  <si>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</si>
  <si>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</si>
  <si>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</si>
  <si>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</si>
  <si>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</si>
  <si>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</si>
  <si>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</si>
  <si>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</si>
  <si>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</si>
  <si>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</si>
  <si>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</si>
  <si>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</si>
  <si>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</si>
  <si>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</si>
  <si>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</si>
  <si>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</si>
  <si>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</si>
  <si>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</si>
  <si>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</si>
  <si>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</si>
  <si>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</si>
  <si>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</si>
  <si>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</si>
  <si>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</si>
  <si>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</si>
  <si>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</si>
  <si>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</si>
  <si>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</si>
  <si>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</si>
  <si>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</si>
  <si>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</si>
  <si>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</si>
  <si>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</si>
  <si>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</si>
  <si>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</si>
  <si>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</si>
  <si>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</si>
  <si>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</si>
  <si>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</si>
  <si>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</si>
  <si>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</si>
  <si>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</si>
  <si>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</si>
  <si>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</si>
  <si>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</si>
  <si>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</si>
  <si>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</si>
  <si>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</si>
  <si>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</si>
  <si>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</si>
  <si>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</si>
  <si>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</si>
  <si>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</si>
  <si>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</si>
  <si>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</si>
  <si>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</si>
  <si>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</si>
  <si>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</si>
  <si>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</si>
  <si>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</si>
  <si>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</si>
  <si>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</si>
  <si>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</si>
  <si>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</si>
  <si>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</si>
  <si>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</si>
  <si>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</si>
  <si>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</si>
  <si>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</si>
  <si>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</si>
  <si>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</si>
  <si>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</si>
  <si>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</si>
  <si>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</si>
  <si>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</si>
  <si>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</si>
  <si>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</si>
  <si>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</si>
  <si>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</si>
  <si>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</si>
  <si>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</si>
  <si>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</si>
  <si>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</si>
  <si>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</si>
  <si>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</si>
  <si>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</si>
  <si>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</si>
  <si>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</si>
  <si>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</si>
  <si>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</si>
  <si>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</si>
  <si>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</si>
  <si>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</si>
  <si>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</si>
  <si>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</si>
  <si>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</si>
  <si>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</si>
  <si>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</si>
  <si>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</si>
  <si>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</si>
  <si>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</si>
  <si>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</si>
  <si>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</si>
  <si>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</si>
  <si>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</si>
  <si>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</si>
  <si>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</si>
  <si>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</si>
  <si>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</si>
  <si>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</si>
  <si>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</si>
  <si>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</si>
  <si>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</si>
  <si>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</si>
  <si>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</si>
  <si>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</si>
  <si>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</si>
  <si>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</si>
  <si>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</si>
  <si>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</si>
  <si>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</si>
  <si>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</si>
  <si>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</si>
  <si>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</si>
  <si>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</si>
  <si>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</si>
  <si>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</si>
  <si>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</si>
  <si>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</si>
  <si>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</si>
  <si>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</si>
  <si>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</si>
  <si>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</si>
  <si>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</si>
  <si>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</si>
  <si>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</si>
  <si>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</si>
  <si>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</si>
  <si>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</si>
  <si>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</si>
  <si>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</si>
  <si>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</si>
  <si>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</si>
  <si>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</si>
  <si>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</si>
  <si>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</si>
  <si>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</si>
  <si>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</si>
  <si>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</si>
  <si>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</si>
  <si>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</si>
  <si>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</si>
  <si>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</si>
  <si>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</si>
  <si>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</si>
  <si>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</si>
  <si>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</si>
  <si>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</si>
  <si>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</si>
  <si>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</si>
  <si>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</si>
  <si>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</si>
  <si>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</si>
  <si>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</si>
  <si>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</si>
  <si>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</si>
  <si>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</si>
  <si>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</si>
  <si>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</si>
  <si>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</si>
  <si>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</si>
  <si>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</si>
  <si>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</si>
  <si>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</si>
  <si>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</si>
  <si>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</si>
  <si>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</si>
  <si>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</si>
  <si>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</si>
  <si>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</si>
  <si>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</si>
  <si>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</si>
  <si>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</si>
  <si>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</si>
  <si>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</si>
  <si>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</si>
  <si>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</si>
  <si>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</si>
  <si>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</si>
  <si>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</si>
  <si>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</si>
  <si>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</si>
  <si>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</si>
  <si>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</si>
  <si>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</si>
  <si>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</si>
  <si>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</si>
  <si>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</si>
  <si>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</si>
  <si>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</si>
  <si>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</si>
  <si>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</si>
  <si>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</si>
  <si>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</si>
  <si>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</si>
  <si>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</si>
  <si>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</si>
  <si>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</si>
  <si>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</si>
  <si>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</si>
  <si>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</si>
  <si>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</si>
  <si>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</si>
  <si>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</si>
  <si>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</si>
  <si>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</si>
  <si>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</si>
  <si>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</si>
  <si>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</si>
  <si>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</si>
  <si>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</si>
  <si>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</si>
  <si>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</si>
  <si>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</si>
  <si>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</si>
  <si>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</si>
  <si>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</si>
  <si>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</si>
  <si>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</si>
  <si>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</si>
  <si>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</si>
  <si>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</si>
  <si>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</si>
  <si>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</si>
  <si>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</si>
  <si>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</si>
  <si>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</si>
  <si>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</si>
  <si>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</si>
  <si>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</si>
  <si>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</si>
  <si>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</si>
  <si>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</si>
  <si>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</si>
  <si>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</si>
  <si>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</si>
  <si>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</si>
  <si>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</si>
  <si>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</si>
  <si>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</si>
  <si>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</si>
  <si>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</si>
  <si>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</si>
  <si>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</si>
  <si>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</si>
  <si>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</si>
  <si>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</si>
  <si>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</si>
  <si>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</si>
  <si>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</si>
  <si>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</si>
  <si>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</si>
  <si>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</si>
  <si>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</si>
  <si>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</si>
  <si>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</si>
  <si>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</si>
  <si>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</si>
  <si>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</si>
  <si>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</si>
  <si>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</si>
  <si>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</si>
  <si>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</si>
  <si>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</si>
  <si>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</si>
  <si>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</si>
  <si>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</si>
  <si>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</si>
  <si>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</si>
  <si>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</si>
  <si>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</si>
  <si>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</si>
  <si>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</si>
  <si>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</si>
  <si>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</si>
  <si>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</si>
  <si>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</si>
  <si>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</si>
  <si>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</si>
  <si>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</si>
  <si>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</si>
  <si>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</si>
  <si>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</si>
  <si>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</si>
  <si>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</si>
  <si>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</si>
  <si>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</si>
  <si>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</si>
  <si>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</si>
  <si>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</si>
  <si>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</si>
  <si>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</si>
  <si>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</si>
  <si>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</si>
  <si>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</si>
  <si>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</si>
  <si>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</si>
  <si>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</si>
  <si>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</si>
  <si>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</si>
  <si>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</si>
  <si>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</si>
  <si>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</si>
  <si>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</si>
  <si>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</si>
  <si>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</si>
  <si>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</si>
  <si>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</si>
  <si>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</si>
  <si>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</si>
  <si>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</si>
  <si>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</si>
  <si>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</si>
  <si>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</si>
  <si>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</si>
  <si>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</si>
  <si>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</si>
  <si>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</si>
  <si>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</si>
  <si>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</si>
  <si>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</si>
  <si>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</si>
  <si>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</si>
  <si>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</si>
  <si>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</si>
  <si>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</si>
  <si>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</si>
  <si>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</si>
  <si>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</si>
  <si>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</si>
  <si>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</si>
  <si>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</si>
  <si>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</si>
  <si>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</si>
  <si>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</si>
  <si>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</si>
  <si>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</si>
  <si>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</si>
  <si>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</si>
  <si>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</si>
  <si>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</si>
  <si>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</si>
  <si>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</si>
  <si>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</si>
  <si>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</si>
  <si>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</si>
  <si>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</si>
  <si>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</si>
  <si>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</si>
  <si>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</si>
  <si>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</si>
  <si>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</si>
  <si>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</si>
  <si>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</si>
  <si>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</si>
  <si>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</si>
  <si>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</si>
  <si>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</si>
  <si>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</si>
  <si>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</si>
  <si>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</si>
  <si>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</si>
  <si>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</si>
  <si>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</si>
  <si>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</si>
  <si>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</si>
  <si>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</si>
  <si>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</si>
  <si>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</si>
  <si>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</si>
  <si>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</si>
  <si>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</si>
  <si>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</si>
  <si>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</si>
  <si>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</si>
  <si>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</si>
  <si>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</si>
  <si>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</si>
  <si>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</si>
  <si>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</si>
  <si>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</si>
  <si>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</si>
  <si>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</si>
  <si>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</si>
  <si>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</si>
  <si>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</si>
  <si>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</si>
  <si>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</si>
  <si>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</si>
  <si>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</si>
  <si>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</si>
  <si>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</si>
  <si>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</si>
  <si>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</si>
  <si>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</si>
  <si>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</si>
  <si>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</si>
  <si>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</si>
  <si>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</si>
  <si>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</si>
  <si>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</si>
  <si>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</si>
  <si>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</si>
  <si>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</si>
  <si>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</si>
  <si>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</si>
  <si>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</si>
  <si>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</si>
  <si>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</si>
  <si>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</si>
  <si>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</si>
  <si>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</si>
  <si>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</si>
  <si>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</si>
  <si>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</si>
  <si>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</si>
  <si>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</si>
  <si>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</si>
  <si>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</si>
  <si>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</si>
  <si>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</si>
  <si>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</si>
  <si>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</si>
  <si>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</si>
  <si>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</si>
  <si>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</si>
  <si>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</si>
  <si>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</si>
  <si>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</si>
  <si>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</si>
  <si>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</si>
  <si>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</si>
  <si>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</si>
  <si>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</si>
  <si>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</si>
  <si>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</si>
  <si>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</si>
  <si>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</si>
  <si>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</si>
  <si>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</si>
  <si>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</si>
  <si>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</si>
  <si>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</si>
  <si>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</si>
  <si>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</si>
  <si>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</si>
  <si>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</si>
  <si>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</si>
  <si>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</si>
  <si>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</si>
  <si>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</si>
  <si>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</si>
  <si>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</si>
  <si>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</si>
  <si>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</si>
  <si>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</si>
  <si>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</si>
  <si>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</si>
  <si>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</si>
  <si>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</si>
  <si>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</si>
  <si>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</si>
  <si>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</si>
  <si>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</si>
  <si>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</si>
  <si>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</si>
  <si>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</si>
  <si>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</si>
  <si>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</si>
  <si>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</si>
  <si>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</si>
  <si>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</si>
  <si>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</si>
  <si>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</si>
  <si>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</si>
  <si>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</si>
  <si>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</si>
  <si>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</si>
  <si>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</si>
  <si>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</si>
  <si>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</si>
  <si>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</si>
  <si>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</si>
  <si>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</si>
  <si>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</si>
  <si>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</si>
  <si>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</si>
  <si>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</si>
  <si>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</si>
  <si>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</si>
  <si>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</si>
  <si>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</si>
  <si>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</si>
  <si>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</si>
  <si>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</si>
  <si>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</si>
  <si>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</si>
  <si>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</si>
  <si>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</si>
  <si>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</si>
  <si>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</si>
  <si>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</si>
  <si>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</si>
  <si>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</si>
  <si>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</si>
  <si>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</si>
  <si>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</si>
  <si>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</si>
  <si>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</si>
  <si>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</si>
  <si>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</si>
  <si>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</si>
  <si>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</si>
  <si>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</si>
  <si>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</si>
  <si>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</si>
  <si>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</si>
  <si>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</si>
  <si>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</si>
  <si>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</si>
  <si>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</si>
  <si>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</si>
  <si>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</si>
  <si>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</si>
  <si>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</si>
  <si>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</si>
  <si>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</si>
  <si>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</si>
  <si>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</si>
  <si>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</si>
  <si>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</si>
  <si>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</si>
  <si>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</si>
  <si>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</si>
  <si>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</si>
  <si>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</si>
  <si>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</si>
  <si>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</si>
  <si>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</si>
  <si>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</si>
  <si>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</si>
  <si>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</si>
  <si>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</si>
  <si>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</si>
  <si>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</si>
  <si>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</si>
  <si>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</si>
  <si>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</si>
  <si>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</si>
  <si>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</si>
  <si>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</si>
  <si>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</si>
  <si>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</si>
  <si>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</si>
  <si>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</si>
  <si>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</si>
  <si>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</si>
  <si>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</si>
  <si>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</si>
  <si>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</si>
  <si>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</si>
  <si>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</si>
  <si>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</si>
  <si>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</si>
  <si>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</si>
  <si>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</si>
  <si>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</si>
  <si>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</si>
  <si>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</si>
  <si>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</si>
  <si>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</si>
  <si>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</si>
  <si>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</si>
  <si>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</si>
  <si>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</si>
  <si>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</si>
  <si>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</si>
  <si>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</si>
  <si>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</si>
  <si>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</si>
  <si>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</si>
  <si>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</si>
  <si>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</si>
  <si>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</si>
  <si>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</si>
  <si>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</si>
  <si>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</si>
  <si>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</si>
  <si>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</si>
  <si>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</si>
  <si>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</si>
  <si>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</si>
  <si>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</si>
  <si>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</si>
  <si>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</si>
  <si>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</si>
  <si>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</si>
  <si>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</si>
  <si>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</si>
  <si>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</si>
  <si>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</si>
  <si>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</si>
  <si>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</si>
  <si>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</si>
  <si>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</si>
  <si>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</si>
  <si>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</si>
  <si>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</si>
  <si>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</si>
  <si>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</si>
  <si>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</si>
  <si>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</si>
  <si>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</si>
  <si>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</si>
  <si>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</si>
  <si>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</si>
  <si>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</si>
  <si>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</si>
  <si>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</si>
  <si>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</si>
  <si>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</si>
  <si>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</si>
  <si>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</si>
  <si>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</si>
  <si>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</si>
  <si>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</si>
  <si>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</si>
  <si>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</si>
  <si>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</si>
  <si>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</si>
  <si>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</si>
  <si>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</si>
  <si>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</si>
  <si>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</si>
  <si>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</si>
  <si>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</si>
  <si>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</si>
  <si>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</si>
  <si>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</si>
  <si>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</si>
  <si>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</si>
  <si>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</si>
  <si>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</si>
  <si>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</si>
  <si>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</si>
  <si>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</si>
  <si>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</si>
  <si>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</si>
  <si>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</si>
  <si>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</si>
  <si>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</si>
  <si>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</si>
  <si>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</si>
  <si>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</si>
  <si>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</si>
  <si>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</si>
  <si>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</si>
  <si>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</si>
  <si>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</si>
  <si>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</si>
  <si>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</si>
  <si>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</si>
  <si>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</si>
  <si>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</si>
  <si>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</si>
  <si>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</si>
  <si>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</si>
  <si>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</si>
  <si>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</si>
  <si>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</si>
  <si>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</si>
  <si>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</si>
  <si>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</si>
  <si>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</si>
  <si>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</si>
  <si>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</si>
  <si>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</si>
  <si>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</si>
  <si>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</si>
  <si>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</si>
  <si>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</si>
  <si>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</si>
  <si>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</si>
  <si>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</si>
  <si>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</si>
  <si>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</si>
  <si>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</si>
  <si>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</si>
  <si>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</si>
  <si>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</si>
  <si>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</si>
  <si>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</si>
  <si>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</si>
  <si>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</si>
  <si>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</si>
  <si>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</si>
  <si>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</si>
  <si>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</si>
  <si>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</si>
  <si>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</si>
  <si>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</si>
  <si>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</si>
  <si>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</si>
  <si>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</si>
  <si>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</si>
  <si>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</si>
  <si>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</si>
  <si>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</si>
  <si>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</si>
  <si>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</si>
  <si>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</si>
  <si>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</si>
  <si>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</si>
  <si>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</si>
  <si>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</si>
  <si>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</si>
  <si>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</si>
  <si>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</si>
  <si>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</si>
  <si>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</si>
  <si>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</si>
  <si>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</si>
  <si>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</si>
  <si>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</si>
  <si>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</si>
  <si>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</si>
  <si>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</si>
  <si>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</si>
  <si>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</si>
  <si>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</si>
  <si>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</si>
  <si>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</si>
  <si>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</si>
  <si>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</si>
  <si>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</si>
  <si>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</si>
  <si>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</si>
  <si>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</si>
  <si>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</si>
  <si>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</si>
  <si>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</si>
  <si>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</si>
  <si>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</si>
  <si>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</si>
  <si>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</si>
  <si>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</si>
  <si>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</si>
  <si>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</si>
  <si>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</si>
  <si>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</si>
  <si>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</si>
  <si>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</si>
  <si>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</si>
  <si>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</si>
  <si>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</si>
  <si>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</si>
  <si>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</si>
  <si>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</si>
  <si>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</si>
  <si>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</si>
  <si>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</si>
  <si>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</si>
  <si>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</si>
  <si>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</si>
  <si>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</si>
  <si>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</si>
  <si>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</si>
  <si>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</si>
  <si>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</si>
  <si>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</si>
  <si>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</si>
  <si>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</si>
  <si>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</si>
  <si>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</si>
  <si>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</si>
  <si>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</si>
  <si>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</si>
  <si>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</si>
  <si>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</si>
  <si>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</si>
  <si>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</si>
  <si>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</si>
  <si>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</si>
  <si>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</si>
  <si>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</si>
  <si>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</si>
  <si>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</si>
  <si>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</si>
  <si>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</si>
  <si>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</si>
  <si>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</si>
  <si>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</si>
  <si>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</si>
  <si>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</si>
  <si>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</si>
  <si>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</si>
  <si>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</si>
  <si>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</si>
  <si>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</si>
  <si>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</si>
  <si>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</si>
  <si>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</si>
  <si>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</si>
  <si>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</si>
  <si>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</si>
  <si>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</si>
  <si>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</si>
  <si>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</si>
  <si>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</si>
  <si>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</si>
  <si>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</si>
  <si>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</si>
  <si>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</si>
  <si>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</si>
  <si>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</si>
  <si>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</si>
  <si>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</si>
  <si>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</si>
  <si>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</si>
  <si>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</si>
  <si>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</si>
  <si>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</si>
  <si>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</si>
  <si>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</si>
  <si>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</si>
  <si>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</si>
  <si>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</si>
  <si>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</si>
  <si>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</si>
  <si>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</si>
  <si>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</si>
  <si>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</si>
  <si>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</si>
  <si>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</si>
  <si>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</si>
  <si>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</si>
  <si>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</si>
  <si>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</si>
  <si>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</si>
  <si>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</si>
  <si>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</si>
  <si>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</si>
  <si>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</si>
  <si>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</si>
  <si>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</si>
  <si>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</si>
  <si>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</si>
  <si>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</si>
  <si>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</si>
  <si>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</si>
  <si>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</si>
  <si>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</si>
  <si>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</si>
  <si>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</si>
  <si>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</si>
  <si>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</si>
  <si>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</si>
  <si>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</si>
  <si>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</si>
  <si>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</si>
  <si>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</si>
  <si>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</si>
  <si>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</si>
  <si>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</si>
  <si>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</si>
  <si>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</si>
  <si>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</si>
  <si>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</si>
  <si>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</si>
  <si>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</si>
  <si>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</si>
  <si>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</si>
  <si>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</si>
  <si>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</si>
  <si>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</si>
  <si>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</si>
  <si>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</si>
  <si>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</si>
  <si>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</si>
  <si>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</si>
  <si>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</si>
  <si>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</si>
  <si>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</si>
  <si>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</si>
  <si>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</si>
  <si>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</si>
  <si>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</si>
  <si>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</si>
  <si>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</si>
  <si>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</si>
  <si>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</si>
  <si>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</si>
  <si>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</si>
  <si>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</si>
  <si>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</si>
  <si>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</si>
  <si>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</si>
  <si>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</si>
  <si>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</si>
  <si>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</si>
  <si>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</si>
  <si>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</si>
  <si>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</si>
  <si>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</si>
  <si>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</si>
  <si>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</si>
  <si>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</si>
  <si>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</si>
  <si>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</si>
  <si>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</si>
  <si>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</si>
  <si>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</si>
  <si>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</si>
  <si>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</si>
  <si>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</si>
  <si>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</si>
  <si>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</si>
  <si>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</si>
  <si>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</si>
  <si>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</si>
  <si>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</si>
  <si>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</si>
  <si>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</si>
  <si>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</si>
  <si>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</si>
  <si>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</si>
  <si>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</si>
  <si>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</si>
  <si>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</si>
  <si>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</si>
  <si>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</si>
  <si>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</si>
  <si>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</si>
  <si>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</si>
  <si>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</si>
  <si>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</si>
  <si>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</si>
  <si>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</si>
  <si>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</si>
  <si>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</si>
  <si>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</si>
  <si>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</si>
  <si>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</si>
  <si>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</si>
  <si>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</si>
  <si>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</si>
  <si>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</si>
  <si>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</si>
  <si>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</si>
  <si>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</si>
  <si>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</si>
  <si>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</si>
  <si>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</si>
  <si>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</si>
  <si>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</si>
  <si>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</si>
  <si>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</si>
  <si>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</si>
  <si>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</si>
  <si>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</si>
  <si>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</si>
  <si>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</si>
  <si>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</si>
  <si>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</si>
  <si>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</si>
  <si>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</si>
  <si>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</si>
  <si>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</si>
  <si>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</si>
  <si>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</si>
  <si>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</si>
  <si>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</si>
  <si>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</si>
  <si>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</si>
  <si>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</si>
  <si>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</si>
  <si>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</si>
  <si>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</si>
  <si>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</si>
  <si>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</si>
  <si>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</si>
  <si>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</si>
  <si>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</si>
  <si>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</si>
  <si>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</si>
  <si>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</si>
  <si>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</si>
  <si>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</si>
  <si>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</si>
  <si>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</si>
  <si>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</si>
  <si>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</si>
  <si>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</si>
  <si>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</si>
  <si>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</si>
  <si>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</si>
  <si>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</si>
  <si>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</si>
  <si>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</si>
  <si>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</si>
  <si>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</si>
  <si>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</si>
  <si>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</si>
  <si>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</si>
  <si>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</si>
  <si>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</si>
  <si>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</si>
  <si>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</si>
  <si>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</si>
  <si>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</si>
  <si>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</si>
  <si>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</si>
  <si>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</si>
  <si>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</si>
  <si>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</si>
  <si>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</si>
  <si>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</si>
  <si>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</si>
  <si>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</si>
  <si>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</si>
  <si>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</si>
  <si>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</si>
  <si>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</si>
  <si>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</si>
  <si>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</si>
  <si>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</si>
  <si>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</si>
  <si>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</si>
  <si>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</si>
  <si>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</si>
  <si>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</si>
  <si>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</si>
  <si>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</si>
  <si>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</si>
  <si>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</si>
  <si>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</si>
  <si>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</si>
  <si>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</si>
  <si>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</si>
  <si>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</si>
  <si>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</si>
  <si>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</si>
  <si>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</si>
  <si>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</si>
  <si>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</si>
  <si>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</si>
  <si>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</si>
  <si>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</si>
  <si>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</si>
  <si>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</si>
  <si>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</si>
  <si>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</si>
  <si>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</si>
  <si>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</si>
  <si>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</si>
  <si>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</si>
  <si>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</si>
  <si>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</si>
  <si>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</si>
  <si>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</si>
  <si>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</si>
  <si>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</si>
  <si>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</si>
  <si>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</si>
  <si>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</si>
  <si>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</si>
  <si>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</si>
  <si>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</si>
  <si>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</si>
  <si>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</si>
  <si>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</si>
  <si>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</si>
  <si>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</si>
  <si>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</si>
  <si>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</si>
  <si>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</si>
  <si>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</si>
  <si>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</si>
  <si>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</si>
  <si>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</si>
  <si>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</si>
  <si>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</si>
  <si>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</si>
  <si>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</si>
  <si>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</si>
  <si>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</si>
  <si>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</si>
  <si>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</si>
  <si>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</si>
  <si>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</si>
  <si>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</si>
  <si>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</si>
  <si>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</si>
  <si>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</si>
  <si>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</si>
  <si>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</si>
  <si>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</si>
  <si>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</si>
  <si>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</si>
  <si>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</si>
  <si>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</si>
  <si>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</si>
  <si>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</si>
  <si>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</si>
  <si>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</si>
  <si>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</si>
  <si>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</si>
  <si>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</si>
  <si>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</si>
  <si>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</si>
  <si>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</si>
  <si>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</si>
  <si>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</si>
  <si>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</si>
  <si>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</si>
  <si>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</si>
  <si>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</si>
  <si>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</si>
  <si>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</si>
  <si>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</si>
  <si>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</si>
  <si>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</si>
  <si>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</si>
  <si>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</si>
  <si>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</si>
  <si>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</si>
  <si>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</si>
  <si>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</si>
  <si>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</si>
  <si>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</si>
  <si>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</si>
  <si>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</si>
  <si>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</si>
  <si>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</si>
  <si>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</si>
  <si>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</si>
  <si>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</si>
  <si>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</si>
  <si>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</si>
  <si>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</si>
  <si>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</si>
  <si>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</si>
  <si>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</si>
  <si>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</si>
  <si>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</si>
  <si>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</si>
  <si>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</si>
  <si>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</si>
  <si>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</si>
  <si>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</si>
  <si>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</si>
  <si>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</si>
  <si>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</si>
  <si>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</si>
  <si>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</si>
  <si>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</si>
  <si>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</si>
  <si>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</si>
  <si>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</si>
  <si>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</si>
  <si>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</si>
  <si>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</si>
  <si>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</si>
  <si>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</si>
  <si>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</si>
  <si>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</si>
  <si>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</si>
  <si>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</si>
  <si>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</si>
  <si>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</si>
  <si>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</si>
  <si>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</si>
  <si>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</si>
  <si>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</si>
  <si>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</si>
  <si>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</si>
  <si>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</si>
  <si>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</si>
  <si>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</si>
  <si>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</si>
  <si>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</si>
  <si>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</si>
  <si>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</si>
  <si>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</si>
  <si>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</si>
  <si>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</si>
  <si>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</si>
  <si>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</si>
  <si>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</si>
  <si>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</si>
  <si>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</si>
  <si>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</si>
  <si>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</si>
  <si>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</si>
  <si>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</si>
  <si>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</si>
  <si>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</si>
  <si>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</si>
  <si>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</si>
  <si>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</si>
  <si>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</si>
  <si>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</si>
  <si>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</si>
  <si>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</si>
  <si>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</si>
  <si>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</si>
  <si>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</si>
  <si>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</si>
  <si>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</si>
  <si>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</si>
  <si>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</si>
  <si>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</si>
  <si>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</si>
  <si>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</si>
  <si>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</si>
  <si>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</si>
  <si>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</si>
  <si>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</si>
  <si>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</si>
  <si>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</si>
  <si>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</si>
  <si>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</si>
  <si>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</si>
  <si>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</si>
  <si>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</si>
  <si>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</si>
  <si>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</si>
  <si>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</si>
  <si>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</si>
  <si>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</si>
  <si>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</si>
  <si>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</si>
  <si>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</si>
  <si>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</si>
  <si>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</si>
  <si>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</si>
  <si>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</si>
  <si>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</si>
  <si>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</si>
  <si>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</si>
  <si>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</si>
  <si>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</si>
  <si>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</si>
  <si>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</si>
  <si>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</si>
  <si>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</si>
  <si>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</si>
  <si>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</si>
  <si>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</si>
  <si>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</si>
  <si>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</si>
  <si>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</si>
  <si>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</si>
  <si>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</si>
  <si>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</si>
  <si>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</si>
  <si>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</si>
  <si>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</si>
  <si>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</si>
  <si>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</si>
  <si>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</si>
  <si>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</si>
  <si>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</si>
  <si>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</si>
  <si>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</si>
  <si>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</si>
  <si>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</si>
  <si>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</si>
  <si>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</si>
  <si>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</si>
  <si>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</si>
  <si>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</si>
  <si>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</si>
  <si>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</si>
  <si>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</si>
  <si>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</si>
  <si>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</si>
  <si>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</si>
  <si>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</si>
  <si>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</si>
  <si>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</si>
  <si>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</si>
  <si>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</si>
  <si>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</si>
  <si>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</si>
  <si>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</si>
  <si>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</si>
  <si>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</si>
  <si>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</si>
  <si>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</si>
  <si>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</si>
  <si>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</si>
  <si>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</si>
  <si>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</si>
  <si>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</si>
  <si>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</si>
  <si>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</si>
  <si>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</si>
  <si>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</si>
  <si>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</si>
  <si>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</si>
  <si>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</si>
  <si>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</si>
  <si>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</si>
  <si>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</si>
  <si>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</si>
  <si>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</si>
  <si>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</si>
  <si>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</si>
  <si>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</si>
  <si>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</si>
  <si>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</si>
  <si>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</si>
  <si>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</si>
  <si>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</si>
  <si>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</si>
  <si>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</si>
  <si>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</si>
  <si>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</si>
  <si>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</si>
  <si>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</si>
  <si>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</si>
  <si>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</si>
  <si>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</si>
  <si>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</si>
  <si>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</si>
  <si>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</si>
  <si>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</si>
  <si>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</si>
  <si>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</si>
  <si>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</si>
  <si>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</si>
  <si>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</si>
  <si>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</si>
  <si>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</si>
  <si>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</si>
  <si>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</si>
  <si>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</si>
  <si>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</si>
  <si>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</si>
  <si>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</si>
  <si>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</si>
  <si>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</si>
  <si>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</si>
  <si>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</si>
  <si>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</si>
  <si>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</si>
  <si>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</si>
  <si>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</si>
  <si>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</si>
  <si>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</si>
  <si>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</si>
  <si>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</si>
  <si>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</si>
  <si>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</si>
  <si>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</si>
  <si>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</si>
  <si>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</si>
  <si>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</si>
  <si>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</si>
  <si>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</si>
  <si>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</si>
  <si>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</si>
  <si>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</si>
  <si>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</si>
  <si>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</si>
  <si>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</si>
  <si>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</si>
  <si>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</si>
  <si>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</si>
  <si>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</si>
  <si>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</si>
  <si>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</si>
  <si>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</si>
  <si>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</si>
  <si>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</si>
  <si>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</si>
  <si>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</si>
  <si>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</si>
  <si>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</si>
  <si>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</si>
  <si>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</si>
  <si>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</si>
  <si>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</si>
  <si>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</si>
  <si>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</si>
  <si>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</si>
  <si>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</si>
  <si>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</si>
  <si>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</si>
  <si>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</si>
  <si>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</si>
  <si>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</si>
  <si>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</si>
  <si>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</si>
  <si>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</si>
  <si>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</si>
  <si>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</si>
  <si>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</si>
  <si>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</si>
  <si>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</si>
  <si>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</si>
  <si>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</si>
  <si>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</si>
  <si>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</si>
  <si>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</si>
  <si>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</si>
  <si>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</si>
  <si>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</si>
  <si>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</si>
  <si>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</si>
  <si>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</si>
  <si>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</si>
  <si>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</si>
  <si>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</si>
  <si>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</si>
  <si>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</si>
  <si>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</si>
  <si>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</si>
  <si>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</si>
  <si>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</si>
  <si>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</si>
  <si>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</si>
  <si>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</si>
  <si>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</si>
  <si>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</si>
  <si>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</si>
  <si>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</si>
  <si>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</si>
  <si>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</si>
  <si>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</si>
  <si>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</si>
  <si>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</si>
  <si>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</si>
  <si>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</si>
  <si>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</si>
  <si>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</si>
  <si>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</si>
  <si>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</si>
  <si>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</si>
  <si>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</si>
  <si>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</si>
  <si>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</si>
  <si>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</si>
  <si>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</si>
  <si>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</si>
  <si>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</si>
  <si>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</si>
  <si>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</si>
  <si>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</si>
  <si>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</si>
  <si>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</si>
  <si>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</si>
  <si>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</si>
  <si>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</si>
  <si>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</si>
  <si>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</si>
  <si>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</si>
  <si>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</si>
  <si>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</si>
  <si>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</si>
  <si>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</si>
  <si>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</si>
  <si>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</si>
  <si>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</si>
  <si>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</si>
  <si>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</si>
  <si>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</si>
  <si>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</si>
  <si>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</si>
  <si>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</si>
  <si>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</si>
  <si>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</si>
  <si>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</si>
  <si>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</si>
  <si>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</si>
  <si>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</si>
  <si>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</si>
  <si>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</si>
  <si>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</si>
  <si>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</si>
  <si>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</si>
  <si>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</si>
  <si>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</si>
  <si>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</si>
  <si>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</si>
  <si>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</si>
  <si>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</si>
  <si>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</si>
  <si>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</si>
  <si>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</si>
  <si>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</si>
  <si>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</si>
  <si>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</si>
  <si>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</si>
  <si>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</si>
  <si>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</si>
  <si>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</si>
  <si>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</si>
  <si>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</si>
  <si>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</si>
  <si>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</si>
  <si>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</si>
  <si>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</si>
  <si>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</si>
  <si>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</si>
  <si>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</si>
  <si>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</si>
  <si>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</si>
  <si>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</si>
  <si>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</si>
  <si>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</si>
  <si>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</si>
  <si>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</si>
  <si>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</si>
  <si>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</si>
  <si>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</si>
  <si>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</si>
  <si>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</si>
  <si>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</si>
  <si>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</si>
  <si>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</si>
  <si>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</si>
  <si>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</si>
  <si>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</si>
  <si>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</si>
  <si>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</si>
  <si>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</si>
  <si>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</si>
  <si>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</si>
  <si>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</si>
  <si>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</si>
  <si>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</si>
  <si>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</si>
  <si>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</si>
  <si>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</si>
  <si>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</si>
  <si>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</si>
  <si>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</si>
  <si>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</si>
  <si>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</si>
  <si>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</si>
  <si>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</si>
  <si>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</si>
  <si>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</si>
  <si>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</si>
  <si>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</si>
  <si>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</si>
  <si>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</si>
  <si>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</si>
  <si>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</si>
  <si>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</si>
  <si>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</si>
  <si>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</si>
  <si>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</si>
  <si>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</si>
  <si>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</si>
  <si>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</si>
  <si>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</si>
  <si>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</si>
  <si>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</si>
  <si>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</si>
  <si>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</si>
  <si>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</si>
  <si>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</si>
  <si>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</si>
  <si>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</si>
  <si>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</si>
  <si>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</si>
  <si>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</si>
  <si>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</si>
  <si>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</si>
  <si>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</si>
  <si>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</si>
  <si>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</si>
  <si>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</si>
  <si>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</si>
  <si>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</si>
  <si>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</si>
  <si>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</si>
  <si>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</si>
  <si>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</si>
  <si>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</si>
  <si>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</si>
  <si>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</si>
  <si>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</si>
  <si>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</si>
  <si>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</si>
  <si>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</si>
  <si>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</si>
  <si>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</si>
  <si>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</si>
  <si>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</si>
  <si>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</si>
  <si>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</si>
  <si>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</si>
  <si>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</si>
  <si>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</si>
  <si>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</si>
  <si>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</si>
  <si>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</si>
  <si>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</si>
  <si>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</si>
  <si>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</si>
  <si>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</si>
  <si>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</si>
  <si>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</si>
  <si>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</si>
  <si>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</si>
  <si>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</si>
  <si>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</si>
  <si>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</si>
  <si>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</si>
  <si>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</si>
  <si>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</si>
  <si>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</si>
  <si>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</si>
  <si>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</si>
  <si>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</si>
  <si>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</si>
  <si>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</si>
  <si>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</si>
  <si>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</si>
  <si>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</si>
  <si>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</si>
  <si>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</si>
  <si>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</si>
  <si>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</si>
  <si>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</si>
  <si>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</si>
  <si>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</si>
  <si>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</si>
  <si>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</si>
  <si>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</si>
  <si>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</si>
  <si>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</si>
  <si>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</si>
  <si>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</si>
  <si>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</si>
  <si>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</si>
  <si>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</si>
  <si>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</si>
  <si>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</si>
  <si>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</si>
  <si>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</si>
  <si>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</si>
  <si>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</si>
  <si>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</si>
  <si>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</si>
  <si>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</si>
  <si>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</si>
  <si>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</si>
  <si>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</si>
  <si>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</si>
  <si>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</si>
  <si>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</si>
  <si>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</si>
  <si>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</si>
  <si>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</si>
  <si>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</si>
  <si>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</si>
  <si>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</si>
  <si>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</si>
  <si>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</si>
  <si>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</si>
  <si>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</si>
  <si>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</si>
  <si>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</si>
  <si>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</si>
  <si>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</si>
  <si>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</si>
  <si>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</si>
  <si>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</si>
  <si>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</si>
  <si>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</si>
  <si>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</si>
  <si>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</si>
  <si>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</si>
  <si>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</si>
  <si>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</si>
  <si>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</si>
  <si>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</si>
  <si>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</si>
  <si>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</si>
  <si>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</si>
  <si>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</si>
  <si>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</si>
  <si>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</si>
  <si>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</si>
  <si>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</si>
  <si>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</si>
  <si>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</si>
  <si>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</si>
  <si>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</si>
  <si>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</si>
  <si>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</si>
  <si>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</si>
  <si>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</si>
  <si>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</si>
  <si>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</si>
  <si>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</si>
  <si>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</si>
  <si>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</si>
  <si>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</si>
  <si>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</si>
  <si>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</si>
  <si>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</si>
  <si>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</si>
  <si>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</si>
  <si>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</si>
  <si>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</si>
  <si>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</si>
  <si>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</si>
  <si>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</si>
  <si>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</si>
  <si>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</si>
  <si>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</si>
  <si>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</si>
  <si>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</si>
  <si>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</si>
  <si>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</si>
  <si>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</si>
  <si>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</si>
  <si>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</si>
  <si>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</si>
  <si>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</si>
  <si>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</si>
  <si>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</si>
  <si>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</si>
  <si>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</si>
  <si>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</si>
  <si>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</si>
  <si>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</si>
  <si>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</si>
  <si>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</si>
  <si>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</si>
  <si>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</si>
  <si>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</si>
  <si>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</si>
  <si>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</si>
  <si>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</si>
  <si>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</si>
  <si>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</si>
  <si>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</si>
  <si>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</si>
  <si>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</si>
  <si>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</si>
  <si>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</si>
  <si>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</si>
  <si>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</si>
  <si>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</si>
  <si>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</si>
  <si>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</si>
  <si>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</si>
  <si>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</si>
  <si>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</si>
  <si>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</si>
  <si>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</si>
  <si>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</si>
  <si>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</si>
  <si>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</si>
  <si>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</si>
  <si>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</si>
  <si>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</si>
  <si>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</si>
  <si>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</si>
  <si>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</si>
  <si>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</si>
  <si>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</si>
  <si>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</si>
  <si>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</si>
  <si>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</si>
  <si>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</si>
  <si>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</si>
  <si>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</si>
  <si>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</si>
  <si>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</si>
  <si>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</si>
  <si>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</si>
  <si>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</si>
  <si>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</si>
  <si>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</si>
  <si>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</si>
  <si>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</si>
  <si>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</si>
  <si>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</si>
  <si>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</si>
  <si>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</si>
  <si>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</si>
  <si>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</si>
  <si>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</si>
  <si>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</si>
  <si>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</si>
  <si>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</si>
  <si>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</si>
  <si>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</si>
  <si>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</si>
  <si>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</si>
  <si>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</si>
  <si>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</si>
  <si>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</si>
  <si>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</si>
  <si>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</si>
  <si>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</si>
  <si>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</si>
  <si>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</si>
  <si>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</si>
  <si>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</si>
  <si>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</si>
  <si>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</si>
  <si>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</si>
  <si>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</si>
  <si>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</si>
  <si>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</si>
  <si>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</si>
  <si>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</si>
  <si>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</si>
  <si>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</si>
  <si>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</si>
  <si>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</si>
  <si>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</si>
  <si>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</si>
  <si>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</si>
  <si>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</si>
  <si>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</si>
  <si>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</si>
  <si>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</si>
  <si>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</si>
  <si>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</si>
  <si>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</si>
  <si>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</si>
  <si>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</si>
  <si>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</si>
  <si>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</si>
  <si>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</si>
  <si>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</si>
  <si>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</si>
  <si>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</si>
  <si>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</si>
  <si>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</si>
  <si>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</si>
  <si>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</si>
  <si>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</si>
  <si>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</si>
  <si>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</si>
  <si>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</si>
  <si>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</si>
  <si>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</si>
  <si>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</si>
  <si>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</si>
  <si>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</si>
  <si>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</si>
  <si>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</si>
  <si>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</si>
  <si>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</si>
  <si>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</si>
  <si>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</si>
  <si>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</si>
  <si>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</si>
  <si>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</si>
  <si>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</si>
  <si>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</si>
  <si>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</si>
  <si>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</si>
  <si>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</si>
  <si>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</si>
  <si>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</si>
  <si>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</si>
  <si>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</si>
  <si>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</si>
  <si>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</si>
  <si>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</si>
  <si>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</si>
  <si>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</si>
  <si>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</si>
  <si>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</si>
  <si>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</si>
  <si>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</si>
  <si>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</si>
  <si>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</si>
  <si>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</si>
  <si>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</si>
  <si>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</si>
  <si>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</si>
  <si>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</si>
  <si>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</si>
  <si>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</si>
  <si>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</si>
  <si>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</si>
  <si>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</si>
  <si>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</si>
  <si>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</si>
  <si>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</si>
  <si>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</si>
  <si>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</si>
  <si>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</si>
  <si>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</si>
  <si>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</si>
  <si>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</si>
  <si>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</si>
  <si>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</si>
  <si>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</si>
  <si>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</si>
  <si>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</si>
  <si>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</si>
  <si>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</si>
  <si>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</si>
  <si>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</si>
  <si>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</si>
  <si>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</si>
  <si>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</si>
  <si>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</si>
  <si>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</si>
  <si>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</si>
  <si>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</si>
  <si>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</si>
  <si>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</si>
  <si>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</si>
  <si>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</si>
  <si>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</si>
  <si>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</si>
  <si>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</si>
  <si>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</si>
  <si>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</si>
  <si>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</si>
  <si>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</si>
  <si>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</si>
  <si>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</si>
  <si>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</si>
  <si>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</si>
  <si>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</si>
  <si>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</si>
  <si>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</si>
  <si>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</si>
  <si>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</si>
  <si>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</si>
  <si>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</si>
  <si>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</si>
  <si>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</si>
  <si>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</si>
  <si>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</si>
  <si>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</si>
  <si>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</si>
  <si>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</si>
  <si>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</si>
  <si>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</si>
  <si>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</si>
  <si>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</si>
  <si>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</si>
  <si>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</si>
  <si>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</si>
  <si>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</si>
  <si>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</si>
  <si>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</si>
  <si>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</si>
  <si>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</si>
  <si>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</si>
  <si>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</si>
  <si>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</si>
  <si>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</si>
  <si>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</si>
  <si>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</si>
  <si>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</si>
  <si>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</si>
  <si>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</si>
  <si>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</si>
  <si>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</si>
  <si>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</si>
  <si>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</si>
  <si>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</si>
  <si>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</si>
  <si>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</si>
  <si>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</si>
  <si>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</si>
  <si>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</si>
  <si>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</si>
  <si>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</si>
  <si>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</si>
  <si>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</si>
  <si>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</si>
  <si>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</si>
  <si>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</si>
  <si>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</si>
  <si>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</si>
  <si>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</si>
  <si>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</si>
  <si>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</si>
  <si>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</si>
  <si>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</si>
  <si>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</si>
  <si>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</si>
  <si>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</si>
  <si>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</si>
  <si>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</si>
  <si>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</si>
  <si>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</si>
  <si>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</si>
  <si>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</si>
  <si>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</si>
  <si>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</si>
  <si>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</si>
  <si>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</si>
  <si>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</si>
  <si>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</si>
  <si>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</si>
  <si>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</si>
  <si>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</si>
  <si>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</si>
  <si>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</si>
  <si>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</si>
  <si>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</si>
  <si>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</si>
  <si>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</si>
  <si>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</si>
  <si>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</si>
  <si>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</si>
  <si>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</si>
  <si>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</si>
  <si>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</si>
  <si>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</si>
  <si>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</si>
  <si>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</si>
  <si>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</si>
  <si>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</si>
  <si>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</si>
  <si>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</si>
  <si>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</si>
  <si>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</si>
  <si>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</si>
  <si>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</si>
  <si>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</si>
  <si>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</si>
  <si>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</si>
  <si>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</si>
  <si>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</si>
  <si>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</si>
  <si>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</si>
  <si>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</si>
  <si>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</si>
  <si>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</si>
  <si>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</si>
  <si>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</si>
  <si>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</si>
  <si>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</si>
  <si>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</si>
  <si>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</si>
  <si>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</si>
  <si>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</si>
  <si>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</si>
  <si>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</si>
  <si>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</si>
  <si>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</si>
  <si>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</si>
  <si>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</si>
  <si>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</si>
  <si>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</si>
  <si>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</si>
  <si>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</si>
  <si>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</si>
  <si>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</si>
  <si>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</si>
  <si>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</si>
  <si>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</si>
  <si>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</si>
  <si>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</si>
  <si>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</si>
  <si>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</si>
  <si>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</si>
  <si>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</si>
  <si>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</si>
  <si>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</si>
  <si>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</si>
  <si>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</si>
  <si>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</si>
  <si>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</si>
  <si>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</si>
  <si>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</si>
  <si>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</si>
  <si>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</si>
  <si>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</si>
  <si>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</si>
  <si>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</si>
  <si>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</si>
  <si>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</si>
  <si>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</si>
  <si>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</si>
  <si>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</si>
  <si>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</si>
  <si>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</si>
  <si>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</si>
  <si>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</si>
  <si>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</si>
  <si>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</si>
  <si>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</si>
  <si>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</si>
  <si>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</si>
  <si>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</si>
  <si>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</si>
  <si>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</si>
  <si>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</si>
  <si>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</si>
  <si>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</si>
  <si>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</si>
  <si>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</si>
  <si>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</si>
  <si>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</si>
  <si>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</si>
  <si>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</si>
  <si>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</si>
  <si>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</si>
  <si>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</si>
  <si>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</si>
  <si>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</si>
  <si>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</si>
  <si>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</si>
  <si>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</si>
  <si>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</si>
  <si>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</si>
  <si>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</si>
  <si>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</si>
  <si>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</si>
  <si>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</si>
  <si>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</si>
  <si>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</si>
  <si>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</si>
  <si>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</si>
  <si>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</si>
  <si>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</si>
  <si>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</si>
  <si>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</si>
  <si>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</si>
  <si>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</si>
  <si>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</si>
  <si>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</si>
  <si>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</si>
  <si>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</si>
  <si>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</si>
  <si>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</si>
  <si>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</si>
  <si>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</si>
  <si>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</si>
  <si>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</si>
  <si>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</si>
  <si>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</si>
  <si>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</si>
  <si>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</si>
  <si>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</si>
  <si>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</si>
  <si>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</si>
  <si>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</si>
  <si>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</si>
  <si>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</si>
  <si>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</si>
  <si>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</si>
  <si>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</si>
  <si>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</si>
  <si>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</si>
  <si>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</si>
  <si>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</si>
  <si>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</si>
  <si>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</si>
  <si>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</si>
  <si>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</si>
  <si>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</si>
  <si>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</si>
  <si>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</si>
  <si>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</si>
  <si>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</si>
  <si>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</si>
  <si>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</si>
  <si>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</si>
  <si>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</si>
  <si>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</si>
  <si>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</si>
  <si>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</si>
  <si>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</si>
  <si>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</si>
  <si>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</si>
  <si>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</si>
  <si>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</si>
  <si>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</si>
  <si>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</si>
  <si>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</si>
  <si>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</si>
  <si>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</si>
  <si>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</si>
  <si>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</si>
  <si>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</si>
  <si>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</si>
  <si>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</si>
  <si>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</si>
  <si>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</si>
  <si>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</si>
  <si>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</si>
  <si>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</si>
  <si>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</si>
  <si>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</si>
  <si>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</si>
  <si>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</si>
  <si>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</si>
  <si>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</si>
  <si>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</si>
  <si>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</si>
  <si>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</si>
  <si>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</si>
  <si>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</si>
  <si>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</si>
  <si>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</si>
  <si>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</si>
  <si>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</si>
  <si>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</si>
  <si>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</si>
  <si>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</si>
  <si>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</si>
  <si>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</si>
  <si>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</si>
  <si>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</si>
  <si>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</si>
  <si>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</si>
  <si>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</si>
  <si>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</si>
  <si>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</si>
  <si>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</si>
  <si>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</si>
  <si>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</si>
  <si>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</si>
  <si>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</si>
  <si>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</si>
  <si>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</si>
  <si>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</si>
  <si>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</si>
  <si>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</si>
  <si>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</si>
  <si>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</si>
  <si>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</si>
  <si>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</si>
  <si>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</si>
  <si>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</si>
  <si>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</si>
  <si>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</si>
  <si>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</si>
  <si>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</si>
  <si>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</si>
  <si>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</si>
  <si>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</si>
  <si>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</si>
  <si>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</si>
  <si>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</si>
  <si>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</si>
  <si>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</si>
  <si>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</si>
  <si>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</si>
  <si>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</si>
  <si>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</si>
  <si>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</si>
  <si>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</si>
  <si>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</si>
  <si>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</si>
  <si>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</si>
  <si>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</si>
  <si>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</si>
  <si>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</si>
  <si>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</si>
  <si>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</si>
  <si>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</si>
  <si>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</si>
  <si>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</si>
  <si>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</si>
  <si>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</si>
  <si>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</si>
  <si>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</si>
  <si>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</si>
  <si>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</si>
  <si>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</si>
  <si>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</si>
  <si>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</si>
  <si>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</si>
  <si>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</si>
  <si>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</si>
  <si>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</si>
  <si>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</si>
  <si>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</si>
  <si>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</si>
  <si>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</si>
  <si>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</si>
  <si>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</si>
  <si>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</si>
  <si>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</si>
  <si>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</si>
  <si>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</si>
  <si>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</si>
  <si>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</si>
  <si>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</si>
  <si>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</si>
  <si>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</si>
  <si>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</si>
  <si>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</si>
  <si>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</si>
  <si>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</si>
  <si>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</si>
  <si>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</si>
  <si>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</si>
  <si>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</si>
  <si>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</si>
  <si>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</si>
  <si>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</si>
  <si>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</si>
  <si>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</si>
  <si>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</si>
  <si>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</si>
  <si>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</si>
  <si>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</si>
  <si>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</si>
  <si>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</si>
  <si>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</si>
  <si>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</si>
  <si>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</si>
  <si>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</si>
  <si>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</si>
  <si>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</si>
  <si>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</si>
  <si>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</si>
  <si>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</si>
  <si>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</si>
  <si>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</si>
  <si>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</si>
  <si>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</si>
  <si>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</si>
  <si>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</si>
  <si>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</si>
  <si>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</si>
  <si>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</si>
  <si>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</si>
  <si>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</si>
  <si>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</si>
  <si>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</si>
  <si>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</si>
  <si>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</si>
  <si>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</si>
  <si>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</si>
  <si>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</si>
  <si>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</si>
  <si>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</si>
  <si>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</si>
  <si>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</si>
  <si>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</si>
  <si>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</si>
  <si>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</si>
  <si>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</si>
  <si>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</si>
  <si>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</si>
  <si>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</si>
  <si>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</si>
  <si>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</si>
  <si>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</si>
  <si>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</si>
  <si>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</si>
  <si>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</si>
  <si>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</si>
  <si>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</si>
  <si>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</si>
  <si>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</si>
  <si>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</si>
  <si>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</si>
  <si>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</si>
  <si>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</si>
  <si>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</si>
  <si>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</si>
  <si>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</si>
  <si>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</si>
  <si>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</si>
  <si>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</si>
  <si>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</si>
  <si>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</si>
  <si>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</si>
  <si>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</si>
  <si>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</si>
  <si>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</si>
  <si>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</si>
  <si>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</si>
  <si>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</si>
  <si>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</si>
  <si>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</si>
  <si>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</si>
  <si>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</si>
  <si>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</si>
  <si>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</si>
  <si>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</si>
  <si>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</si>
  <si>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</si>
  <si>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</si>
  <si>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</si>
  <si>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</si>
  <si>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</si>
  <si>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</si>
  <si>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</si>
  <si>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</si>
  <si>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</si>
  <si>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</si>
  <si>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</si>
  <si>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</si>
  <si>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</si>
  <si>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</si>
  <si>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</si>
  <si>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</si>
  <si>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</si>
  <si>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</si>
  <si>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</si>
  <si>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</si>
  <si>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</si>
  <si>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</si>
  <si>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</si>
  <si>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</si>
  <si>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</si>
  <si>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</si>
  <si>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</si>
  <si>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</si>
  <si>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</si>
  <si>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</si>
  <si>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</si>
  <si>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</si>
  <si>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</si>
  <si>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</si>
  <si>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</si>
  <si>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</si>
  <si>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</si>
  <si>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</si>
  <si>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</si>
  <si>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</si>
  <si>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</si>
  <si>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</si>
  <si>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</si>
  <si>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</si>
  <si>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</si>
  <si>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</si>
  <si>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</si>
  <si>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</si>
  <si>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</si>
  <si>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</si>
  <si>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</si>
  <si>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</si>
  <si>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</si>
  <si>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</si>
  <si>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</si>
  <si>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</si>
  <si>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</si>
  <si>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</si>
  <si>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</si>
  <si>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</si>
  <si>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</si>
  <si>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</si>
  <si>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</si>
  <si>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</si>
  <si>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</si>
  <si>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</si>
  <si>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</si>
  <si>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</si>
  <si>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</si>
  <si>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</si>
  <si>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</si>
  <si>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</si>
  <si>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</si>
  <si>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</si>
  <si>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</si>
  <si>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</si>
  <si>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</si>
  <si>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</si>
  <si>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</si>
  <si>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</si>
  <si>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</si>
  <si>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</si>
  <si>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</si>
  <si>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</si>
  <si>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</si>
  <si>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</si>
  <si>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</si>
  <si>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</si>
  <si>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</si>
  <si>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</si>
  <si>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</si>
  <si>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</si>
  <si>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</si>
  <si>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</si>
  <si>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</si>
  <si>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</si>
  <si>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</si>
  <si>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</si>
  <si>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</si>
  <si>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</si>
  <si>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</si>
  <si>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</si>
  <si>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</si>
  <si>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</si>
  <si>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</si>
  <si>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</si>
  <si>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</si>
  <si>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</si>
  <si>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</si>
  <si>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</si>
  <si>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</si>
  <si>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</si>
  <si>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</si>
  <si>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</si>
  <si>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</si>
  <si>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</si>
  <si>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</si>
  <si>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</si>
  <si>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</si>
  <si>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</si>
  <si>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</si>
  <si>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</si>
  <si>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</si>
  <si>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</si>
  <si>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</si>
  <si>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</si>
  <si>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</si>
  <si>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</si>
  <si>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</si>
  <si>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</si>
  <si>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</si>
  <si>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</si>
  <si>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</si>
  <si>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</si>
  <si>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</si>
  <si>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</si>
  <si>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</si>
  <si>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</si>
  <si>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</si>
  <si>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</si>
  <si>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</si>
  <si>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</si>
  <si>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</si>
  <si>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</si>
  <si>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</si>
  <si>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</si>
  <si>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</si>
  <si>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</si>
  <si>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</si>
  <si>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</si>
  <si>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</si>
  <si>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</si>
  <si>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</si>
  <si>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</si>
  <si>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</si>
  <si>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</si>
  <si>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</si>
  <si>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</si>
  <si>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</si>
  <si>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</si>
  <si>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</si>
  <si>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</si>
  <si>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</si>
  <si>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</si>
  <si>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</si>
  <si>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</si>
  <si>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</si>
  <si>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</si>
  <si>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</si>
  <si>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</si>
  <si>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</si>
  <si>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</si>
  <si>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</si>
  <si>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</si>
  <si>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</si>
  <si>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</si>
  <si>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</si>
  <si>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</si>
  <si>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</si>
  <si>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</si>
  <si>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</si>
  <si>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</si>
  <si>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</si>
  <si>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</si>
  <si>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</si>
  <si>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</si>
  <si>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</si>
  <si>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</si>
  <si>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</si>
  <si>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</si>
  <si>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</si>
  <si>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</si>
  <si>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</si>
  <si>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</si>
  <si>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</si>
  <si>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</si>
  <si>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</si>
  <si>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</si>
  <si>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</si>
  <si>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</si>
  <si>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</si>
  <si>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</si>
  <si>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</si>
  <si>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</si>
  <si>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</si>
  <si>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</si>
  <si>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</si>
  <si>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</si>
  <si>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</si>
  <si>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</si>
  <si>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</si>
  <si>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</si>
  <si>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</si>
  <si>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</si>
  <si>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</si>
  <si>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</si>
  <si>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</si>
  <si>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</si>
  <si>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</si>
  <si>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</si>
  <si>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</si>
  <si>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</si>
  <si>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</si>
  <si>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</si>
  <si>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</si>
  <si>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</si>
  <si>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</si>
  <si>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</si>
  <si>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</si>
  <si>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</si>
  <si>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</si>
  <si>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</si>
  <si>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</si>
  <si>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</si>
  <si>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</si>
  <si>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</si>
  <si>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</si>
  <si>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</si>
  <si>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</si>
  <si>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</si>
  <si>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</si>
  <si>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</si>
  <si>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</si>
  <si>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</si>
  <si>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</si>
  <si>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</si>
  <si>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</si>
  <si>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</si>
  <si>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</si>
  <si>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</si>
  <si>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</si>
  <si>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</si>
  <si>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</si>
  <si>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</si>
  <si>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</si>
  <si>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</si>
  <si>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</si>
  <si>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</si>
  <si>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</si>
  <si>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</si>
  <si>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</si>
  <si>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</si>
  <si>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</si>
  <si>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</si>
  <si>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</si>
  <si>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</si>
  <si>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</si>
  <si>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</si>
  <si>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</si>
  <si>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</si>
  <si>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</si>
  <si>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</si>
  <si>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</si>
  <si>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</si>
  <si>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</si>
  <si>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</si>
  <si>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</si>
  <si>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</si>
  <si>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</si>
  <si>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</si>
  <si>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</si>
  <si>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</si>
  <si>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</si>
  <si>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</si>
  <si>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</si>
  <si>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</si>
  <si>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</si>
  <si>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</si>
  <si>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</si>
  <si>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</si>
  <si>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</si>
  <si>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</si>
  <si>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</si>
  <si>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</si>
  <si>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</si>
  <si>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</si>
  <si>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</si>
  <si>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</si>
  <si>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</si>
  <si>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</si>
  <si>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</si>
  <si>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</si>
  <si>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</si>
  <si>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</si>
  <si>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</si>
  <si>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</si>
  <si>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</si>
  <si>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</si>
  <si>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</si>
  <si>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</si>
  <si>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</si>
  <si>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</si>
  <si>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</si>
  <si>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</si>
  <si>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</si>
  <si>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</si>
  <si>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</si>
  <si>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</si>
  <si>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</si>
  <si>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</si>
  <si>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</si>
  <si>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</si>
  <si>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</si>
  <si>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</si>
  <si>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</si>
  <si>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</si>
  <si>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</si>
  <si>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</si>
  <si>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</si>
  <si>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</si>
  <si>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</si>
  <si>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</si>
  <si>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</si>
  <si>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</si>
  <si>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</si>
  <si>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</si>
  <si>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</si>
  <si>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</si>
  <si>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</si>
  <si>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</si>
  <si>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</si>
  <si>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</si>
  <si>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</si>
  <si>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</si>
  <si>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</si>
  <si>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</si>
  <si>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</si>
  <si>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</si>
  <si>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</si>
  <si>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</si>
  <si>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</si>
  <si>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</si>
  <si>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</si>
  <si>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</si>
  <si>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</si>
  <si>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</si>
  <si>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</si>
  <si>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</si>
  <si>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</si>
  <si>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</si>
  <si>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</si>
  <si>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</si>
  <si>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</si>
  <si>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</si>
  <si>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</si>
  <si>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</si>
  <si>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</si>
  <si>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</si>
  <si>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</si>
  <si>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</si>
  <si>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</si>
  <si>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</si>
  <si>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</si>
  <si>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</si>
  <si>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</si>
  <si>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</si>
  <si>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</si>
  <si>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</si>
  <si>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</si>
  <si>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</si>
  <si>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</si>
  <si>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</si>
  <si>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</si>
  <si>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</si>
  <si>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</si>
  <si>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</si>
  <si>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</si>
  <si>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</si>
  <si>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</si>
  <si>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</si>
  <si>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</si>
  <si>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</si>
  <si>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</si>
  <si>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</si>
  <si>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</si>
  <si>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</si>
  <si>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</si>
  <si>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</si>
  <si>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</si>
  <si>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</si>
  <si>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</si>
  <si>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</si>
  <si>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</si>
  <si>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</si>
  <si>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</si>
  <si>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</si>
  <si>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</si>
  <si>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</si>
  <si>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</si>
  <si>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</si>
  <si>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</si>
  <si>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</si>
  <si>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</si>
  <si>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</si>
  <si>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</si>
  <si>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</si>
  <si>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</si>
  <si>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</si>
  <si>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</si>
  <si>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</si>
  <si>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</si>
  <si>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</si>
  <si>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</si>
  <si>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</si>
  <si>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</si>
  <si>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</si>
  <si>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</si>
  <si>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</si>
  <si>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</si>
  <si>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</si>
  <si>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</si>
  <si>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</si>
  <si>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</si>
  <si>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</si>
  <si>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</si>
  <si>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</si>
  <si>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</si>
  <si>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</si>
  <si>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</si>
  <si>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</si>
  <si>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</si>
  <si>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</si>
  <si>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</si>
  <si>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</si>
  <si>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</si>
  <si>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</si>
  <si>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</si>
  <si>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</si>
  <si>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</si>
  <si>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</si>
  <si>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</si>
  <si>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</si>
  <si>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</si>
  <si>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</si>
  <si>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</si>
  <si>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</si>
  <si>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</si>
  <si>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</si>
  <si>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</si>
  <si>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</si>
  <si>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</si>
  <si>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</si>
  <si>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</si>
  <si>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</si>
  <si>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</si>
  <si>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</si>
  <si>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</si>
  <si>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</si>
  <si>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</si>
  <si>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</si>
  <si>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</si>
  <si>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</si>
  <si>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</si>
  <si>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</si>
  <si>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</si>
  <si>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</si>
  <si>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</si>
  <si>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</si>
  <si>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</si>
  <si>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</si>
  <si>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</si>
  <si>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</si>
  <si>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</si>
  <si>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</si>
  <si>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</si>
  <si>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</si>
  <si>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</si>
  <si>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</si>
  <si>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</si>
  <si>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</si>
  <si>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</si>
  <si>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</si>
  <si>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</si>
  <si>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</si>
  <si>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</si>
  <si>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</si>
  <si>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</si>
  <si>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</si>
  <si>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</si>
  <si>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</si>
  <si>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</si>
  <si>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</si>
  <si>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</si>
  <si>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</si>
  <si>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</si>
  <si>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</si>
  <si>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</si>
  <si>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</si>
  <si>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</si>
  <si>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</si>
  <si>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</si>
  <si>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</si>
  <si>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</si>
  <si>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</si>
  <si>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</si>
  <si>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</si>
  <si>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</si>
  <si>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</si>
  <si>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</si>
  <si>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</si>
  <si>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</si>
  <si>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</si>
  <si>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</si>
  <si>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</si>
  <si>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</si>
  <si>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</si>
  <si>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</si>
  <si>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</si>
  <si>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</si>
  <si>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</si>
  <si>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</si>
  <si>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</si>
  <si>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</si>
  <si>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</si>
  <si>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</si>
  <si>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</si>
  <si>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</si>
  <si>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</si>
  <si>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</si>
  <si>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</si>
  <si>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</si>
  <si>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</si>
  <si>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</si>
  <si>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</si>
  <si>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</si>
  <si>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</si>
  <si>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</si>
  <si>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</si>
  <si>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</si>
  <si>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</si>
  <si>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</si>
  <si>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</si>
  <si>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</si>
  <si>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</si>
  <si>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</si>
  <si>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</si>
  <si>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</si>
  <si>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</si>
  <si>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</si>
  <si>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</si>
  <si>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</si>
  <si>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</si>
  <si>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</si>
  <si>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</si>
  <si>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</si>
  <si>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</si>
  <si>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</si>
  <si>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</si>
  <si>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</si>
  <si>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</si>
  <si>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</si>
  <si>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</si>
  <si>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</si>
  <si>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</si>
  <si>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</si>
  <si>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</si>
  <si>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</si>
  <si>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</si>
  <si>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</si>
  <si>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</si>
  <si>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</si>
  <si>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</si>
  <si>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</si>
  <si>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</si>
  <si>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</si>
  <si>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</si>
  <si>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</si>
  <si>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</si>
  <si>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</si>
  <si>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</si>
  <si>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</si>
  <si>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</si>
  <si>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</si>
  <si>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</si>
  <si>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</si>
  <si>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</si>
  <si>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</si>
  <si>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</si>
  <si>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</si>
  <si>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</si>
  <si>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</si>
  <si>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</si>
  <si>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</si>
  <si>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</si>
  <si>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</si>
  <si>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</si>
  <si>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</si>
  <si>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</si>
  <si>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</si>
  <si>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</si>
  <si>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</si>
  <si>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</si>
  <si>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</si>
  <si>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</si>
  <si>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</si>
  <si>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</si>
  <si>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</si>
  <si>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</si>
  <si>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</si>
  <si>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</si>
  <si>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</si>
  <si>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</si>
  <si>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</si>
  <si>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</si>
  <si>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</si>
  <si>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</si>
  <si>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</si>
  <si>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</si>
  <si>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</si>
  <si>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</si>
  <si>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</si>
  <si>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</si>
  <si>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</si>
  <si>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</si>
  <si>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</si>
  <si>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</si>
  <si>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</si>
  <si>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</si>
  <si>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</si>
  <si>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</si>
  <si>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</si>
  <si>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</si>
  <si>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</si>
  <si>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</si>
  <si>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</si>
  <si>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</si>
  <si>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</si>
  <si>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</si>
  <si>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</si>
  <si>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</si>
  <si>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</si>
  <si>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</si>
  <si>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</si>
  <si>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</si>
  <si>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</si>
  <si>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</si>
  <si>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</si>
  <si>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</si>
  <si>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</si>
  <si>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</si>
  <si>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</si>
  <si>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</si>
  <si>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</si>
  <si>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</si>
  <si>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</si>
  <si>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</si>
  <si>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</si>
  <si>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</si>
  <si>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</si>
  <si>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</si>
  <si>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</si>
  <si>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</si>
  <si>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</si>
  <si>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</si>
  <si>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</si>
  <si>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</si>
  <si>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</si>
  <si>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</si>
  <si>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</si>
  <si>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</si>
  <si>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</si>
  <si>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</si>
  <si>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</si>
  <si>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</si>
  <si>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</si>
  <si>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</si>
  <si>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</si>
  <si>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</si>
  <si>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</si>
  <si>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</si>
  <si>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</si>
  <si>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</si>
  <si>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</si>
  <si>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</si>
  <si>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</si>
  <si>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</si>
  <si>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</si>
  <si>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</si>
  <si>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</si>
  <si>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</si>
  <si>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</si>
  <si>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</si>
  <si>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</si>
  <si>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</si>
  <si>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</si>
  <si>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</si>
  <si>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</si>
  <si>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</si>
  <si>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</si>
  <si>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</si>
  <si>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</si>
  <si>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</si>
  <si>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</si>
  <si>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</si>
  <si>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</si>
  <si>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</si>
  <si>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</si>
  <si>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</si>
  <si>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</si>
  <si>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</si>
  <si>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</si>
  <si>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</si>
  <si>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</si>
  <si>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</si>
  <si>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</si>
  <si>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</si>
  <si>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</si>
  <si>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</si>
  <si>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</si>
  <si>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</si>
  <si>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</si>
  <si>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</si>
  <si>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</si>
  <si>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</si>
  <si>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</si>
  <si>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</si>
  <si>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</si>
  <si>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</si>
  <si>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</si>
  <si>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</si>
  <si>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</si>
  <si>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</si>
  <si>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</si>
  <si>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</si>
  <si>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</si>
  <si>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</si>
  <si>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</si>
  <si>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</si>
  <si>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</si>
  <si>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</si>
  <si>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</si>
  <si>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</si>
  <si>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</si>
  <si>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</si>
  <si>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</si>
  <si>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</si>
  <si>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</si>
  <si>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</si>
  <si>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</si>
  <si>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</si>
  <si>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</si>
  <si>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</si>
  <si>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</si>
  <si>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</si>
  <si>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</si>
  <si>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</si>
  <si>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</si>
  <si>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</si>
  <si>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</si>
  <si>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</si>
  <si>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</si>
  <si>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</si>
  <si>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</si>
  <si>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</si>
  <si>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</si>
  <si>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</si>
  <si>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</si>
  <si>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</si>
  <si>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</si>
  <si>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</si>
  <si>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</si>
  <si>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</si>
  <si>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</si>
  <si>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</si>
  <si>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</si>
  <si>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</si>
  <si>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</si>
  <si>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</si>
  <si>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</si>
  <si>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</si>
  <si>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</si>
  <si>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</si>
  <si>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</si>
  <si>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</si>
  <si>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</si>
  <si>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</si>
  <si>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</si>
  <si>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</si>
  <si>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</si>
  <si>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</si>
  <si>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</si>
  <si>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</si>
  <si>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</si>
  <si>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</si>
  <si>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</si>
  <si>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</si>
  <si>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</si>
  <si>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</si>
  <si>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</si>
  <si>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</si>
  <si>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</si>
  <si>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</si>
  <si>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</si>
  <si>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</si>
  <si>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</si>
  <si>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</si>
  <si>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</si>
  <si>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</si>
  <si>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</si>
  <si>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</si>
  <si>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</si>
  <si>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</si>
  <si>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</si>
  <si>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</si>
  <si>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</si>
  <si>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</si>
  <si>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</si>
  <si>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</si>
  <si>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</si>
  <si>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</si>
  <si>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</si>
  <si>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</si>
  <si>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</si>
  <si>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</si>
  <si>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</si>
  <si>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</si>
  <si>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</si>
  <si>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</si>
  <si>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</si>
  <si>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</si>
  <si>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</si>
  <si>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</si>
  <si>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</si>
  <si>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</si>
  <si>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</si>
  <si>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</si>
  <si>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</si>
  <si>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</si>
  <si>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</si>
  <si>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</si>
  <si>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</si>
  <si>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</si>
  <si>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</si>
  <si>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</si>
  <si>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</si>
  <si>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</si>
  <si>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</si>
  <si>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</si>
  <si>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</si>
  <si>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</si>
  <si>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</si>
  <si>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</si>
  <si>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</si>
  <si>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</si>
  <si>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</si>
  <si>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</si>
  <si>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</si>
  <si>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</si>
  <si>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</si>
  <si>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</si>
  <si>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</si>
  <si>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</si>
  <si>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</si>
  <si>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</si>
  <si>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</si>
  <si>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</si>
  <si>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</si>
  <si>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</si>
  <si>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</si>
  <si>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</si>
  <si>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</si>
  <si>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</si>
  <si>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</si>
  <si>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</si>
  <si>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</si>
  <si>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</si>
  <si>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</si>
  <si>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</si>
  <si>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</si>
  <si>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</si>
  <si>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</si>
  <si>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</si>
  <si>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</si>
  <si>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</si>
  <si>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</si>
  <si>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</si>
  <si>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</si>
  <si>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</si>
  <si>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</si>
  <si>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</si>
  <si>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</si>
  <si>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</si>
  <si>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</si>
  <si>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</si>
  <si>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</si>
  <si>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</si>
  <si>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</si>
  <si>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</si>
  <si>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</si>
  <si>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</si>
  <si>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</si>
  <si>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</si>
  <si>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</si>
  <si>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</si>
  <si>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</si>
  <si>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</si>
  <si>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</si>
  <si>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</si>
  <si>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</si>
  <si>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</si>
  <si>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</si>
  <si>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</si>
  <si>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</si>
  <si>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</si>
  <si>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</si>
  <si>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</si>
  <si>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</si>
  <si>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</si>
  <si>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</si>
  <si>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</si>
  <si>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</si>
  <si>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</si>
  <si>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</si>
  <si>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</si>
  <si>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</si>
  <si>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</si>
  <si>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</si>
  <si>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</si>
  <si>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</si>
  <si>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</si>
  <si>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</si>
  <si>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</si>
  <si>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</si>
  <si>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</si>
  <si>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</si>
  <si>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</si>
  <si>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</si>
  <si>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</si>
  <si>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</si>
  <si>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</si>
  <si>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</si>
  <si>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</si>
  <si>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</si>
  <si>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</si>
  <si>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</si>
  <si>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</si>
  <si>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</si>
  <si>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</si>
  <si>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</si>
  <si>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</si>
  <si>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</si>
  <si>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</si>
  <si>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</si>
  <si>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</si>
  <si>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</si>
  <si>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</si>
  <si>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</si>
  <si>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</si>
  <si>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</si>
  <si>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</si>
  <si>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</si>
  <si>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</si>
  <si>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</si>
  <si>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</si>
  <si>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</si>
  <si>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</si>
  <si>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</si>
  <si>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</si>
  <si>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</si>
  <si>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</si>
  <si>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</si>
  <si>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</si>
  <si>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</si>
  <si>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</si>
  <si>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</si>
  <si>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</si>
  <si>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</si>
  <si>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</si>
  <si>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</si>
  <si>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</si>
  <si>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</si>
  <si>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</si>
  <si>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</si>
  <si>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</si>
  <si>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</si>
  <si>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</si>
  <si>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</si>
  <si>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</si>
  <si>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</si>
  <si>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</si>
  <si>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</si>
  <si>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</si>
  <si>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</si>
  <si>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</si>
  <si>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</si>
  <si>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</si>
  <si>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</si>
  <si>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</si>
  <si>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</si>
  <si>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</si>
  <si>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</si>
  <si>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</si>
  <si>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</si>
  <si>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</si>
  <si>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</si>
  <si>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</si>
  <si>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</si>
  <si>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</si>
  <si>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</si>
  <si>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</si>
  <si>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</si>
  <si>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</si>
  <si>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</si>
  <si>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</si>
  <si>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</si>
  <si>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</si>
  <si>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</si>
  <si>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</si>
  <si>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</si>
  <si>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</si>
  <si>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</si>
  <si>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</si>
  <si>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</si>
  <si>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</si>
  <si>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</si>
  <si>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</si>
  <si>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</si>
  <si>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</si>
  <si>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</si>
  <si>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</si>
  <si>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</si>
  <si>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</si>
  <si>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</si>
  <si>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</si>
  <si>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</si>
  <si>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</si>
  <si>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</si>
  <si>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</si>
  <si>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</si>
  <si>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</si>
  <si>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</si>
  <si>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</si>
  <si>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</si>
  <si>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</si>
  <si>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</si>
  <si>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</si>
  <si>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</si>
  <si>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</si>
  <si>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</si>
  <si>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</si>
  <si>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</si>
  <si>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</si>
  <si>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</si>
  <si>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</si>
  <si>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</si>
  <si>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</si>
  <si>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</si>
  <si>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</si>
  <si>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</si>
  <si>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</si>
  <si>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</si>
  <si>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</si>
  <si>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</si>
  <si>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</si>
  <si>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</si>
  <si>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</si>
  <si>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</si>
  <si>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</si>
  <si>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</si>
  <si>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</si>
  <si>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</si>
  <si>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</si>
  <si>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</si>
  <si>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</si>
  <si>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</si>
  <si>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</si>
  <si>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</si>
  <si>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</si>
  <si>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</si>
  <si>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</si>
  <si>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</si>
  <si>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</si>
  <si>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</si>
  <si>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</si>
  <si>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</si>
  <si>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</si>
  <si>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</si>
  <si>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</si>
  <si>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</si>
  <si>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</si>
  <si>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</si>
  <si>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</si>
  <si>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</si>
  <si>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</si>
  <si>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</si>
  <si>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</si>
  <si>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</si>
  <si>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</si>
  <si>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</si>
  <si>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</si>
  <si>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</si>
  <si>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</si>
  <si>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</si>
  <si>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</si>
  <si>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</si>
  <si>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</si>
  <si>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</si>
  <si>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</si>
  <si>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</si>
  <si>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</si>
  <si>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</si>
  <si>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</si>
  <si>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</si>
  <si>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</si>
  <si>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</si>
  <si>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</si>
  <si>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</si>
  <si>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</si>
  <si>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</si>
  <si>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</si>
  <si>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</si>
  <si>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</si>
  <si>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</si>
  <si>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</si>
  <si>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</si>
  <si>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</si>
  <si>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</si>
  <si>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</si>
  <si>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</si>
  <si>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</si>
  <si>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</si>
  <si>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</si>
  <si>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</si>
  <si>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</si>
  <si>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</si>
  <si>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</si>
  <si>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</si>
  <si>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</si>
  <si>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</si>
  <si>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</si>
  <si>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</si>
  <si>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</si>
  <si>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</si>
  <si>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</si>
  <si>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</si>
  <si>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</si>
  <si>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</si>
  <si>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</si>
  <si>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</si>
  <si>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</si>
  <si>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</si>
  <si>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</si>
  <si>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</si>
  <si>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</si>
  <si>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</si>
  <si>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</si>
  <si>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</si>
  <si>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</si>
  <si>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</si>
  <si>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</si>
  <si>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</si>
  <si>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</si>
  <si>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</si>
  <si>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</si>
  <si>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</si>
  <si>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</si>
  <si>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</si>
  <si>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</si>
  <si>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</si>
  <si>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2268 SVEUČILIŠTE J. J. STROSSMAYERA U OSIJEKU - FAKULTET AGROBIOTEHNIČKIH ZNANOSTI OSIJEK</t>
  </si>
  <si>
    <t>HRVATSKA ZAKLADA ZA ZNANOST (52209)</t>
  </si>
  <si>
    <t>ISTRAŽIVANJE I RAZVOJ INOVATIVNE FUNKCIONALNE HRANE ZA PČELE RADI POVEĆANJA EFIKASNOSTI GLOBALNE PČELARSKE PROIZVODNJE A679071.025</t>
  </si>
  <si>
    <t>07.09.2020.</t>
  </si>
  <si>
    <t>06.09.2023.</t>
  </si>
  <si>
    <t>PODUZEĆE AGROSIMPA D.O.O.</t>
  </si>
  <si>
    <t>K.K.01.2.1.02.0037 PARTNERI NA IRI PROJEKTU, NOSIOC PODUZEĆE AGROSIMPA DD - ISTRAŽIVANJE I RAZVOJ INOVATIVNE FUNKCIONALNE HRANE ZA PČELE RADI POVEĆANJA EFIKASNOSTI GLOBALNE PČELARSKE PROIZVODNJE S CILJEM POSTATI LIDER U RAZVOJU INOVATIVNE FUNKCIONALNE HRANE ZA PČELE NA MEĐ. PČELARSKOM TRŽIŠTU - prof.dr.sc. Zlatko Puškadija</t>
  </si>
  <si>
    <t>PARTNERI IRI- PROJEKT</t>
  </si>
  <si>
    <t>ISTRAŽIVANJE I RAZVOJ INOVATIVNE FUNKCIONALNE HRANE ZA PČELE RADI POVEĆANJA EFIKASNOSTI GLOBALNE PČELARSKE PROIZVODNJE A679071.026</t>
  </si>
  <si>
    <t>Znanstveni centar izvrsnosti personalizirana briga o zdravlju KK.011.1.01.0010.</t>
  </si>
  <si>
    <t>SVEUČILIŠTE U OSIJEKU, SAFU AGENCIJA ZA FINANCIRANJE</t>
  </si>
  <si>
    <t>Projekt personalizirane brige o zdravlju. Svrha projekta je proizvesti hranu obogaćenu nutricinima,jaja i pileće meso koje osim nutritivne vrijednosti povoljno utječu i na ljudsko zdravlje.</t>
  </si>
  <si>
    <t>APPLERESIST KK 05 .1.1.02.0029 A679071.027</t>
  </si>
  <si>
    <t>01.04.2020.</t>
  </si>
  <si>
    <t>01.04.2023.</t>
  </si>
  <si>
    <t>MINISTARSTVO ZAŠTITE OKOLIŠA I ENERGETIKE</t>
  </si>
  <si>
    <t>K.K.05.1.1.02.0029 APPLERESIST - genetska otpornost jabuke na toplinski i sušni stres uz formiranje preporučenog sortimenta za proizvodna područja kontinentalne Hrvatske - nositelj projekta</t>
  </si>
  <si>
    <t>AGROEKOTEH/HAPIH PARTNER A679071.029</t>
  </si>
  <si>
    <t>01.02.2020.</t>
  </si>
  <si>
    <t>01.06.2023.</t>
  </si>
  <si>
    <t>HAPIH-MIN. GOSPODARSTVA I ODRŽIVOG RAZVOJA</t>
  </si>
  <si>
    <t xml:space="preserve">K.K.05.1.1.02.0018 PARTENRI NA PROJEKTU, NOSITELJ HAPIH </t>
  </si>
  <si>
    <t>HEAL-IN-ONE</t>
  </si>
  <si>
    <t>28.02.2022.</t>
  </si>
  <si>
    <t>27.02.2025.</t>
  </si>
  <si>
    <t>Univezitet u Beogradu - Poljoprivredni fakultet - uplata prema Rektoratu</t>
  </si>
  <si>
    <t>HEAL-IN-ONE  2021-1-RS01-KA220-HED-000032054
Naziv projekta: From digital technology to educational tools: Improving the quality of active learning and teaching in the online and hybrid environment in applied disciplines of agricultural sciences (HEAL-in-ONE)
Koordinator: Univerzitet u Beogradu - Poljoprivredni fakultet
Partneri: Sveučilište Josipa Jurja Strossmayera u Osijeku, Fakultet agrobiotehničkih znanosti Osijek; Faculty of Agriculture - Trakia University; The Faculty of Agricultural Sciences and Food - Skopje; Obrazovni forum – Beograd.</t>
  </si>
  <si>
    <t>HEAL -IN - ONE</t>
  </si>
  <si>
    <t xml:space="preserve">KK.01.1.1.07.0053 INOBIOTEH- Primjena
inovativnih
bioloških pripravaka
u održivim
tehnologijama biljne
proizvodnje </t>
  </si>
  <si>
    <t>prosinac 2020.</t>
  </si>
  <si>
    <t>prosinac 2023.</t>
  </si>
  <si>
    <t>INOBIOTEH - Primjena
inovativnih
bioloških pripravaka
u održivim
tehnologijama biljne
proizvodnje. Provest će se primijenjena istraživanja
usmjerena razvoju novih
mikrobioloških pripravaka koji će bez
opterećenja okoliša povećati plodnost i
elastičnost tala, smanjiti kontaminaciju
voda, smanjiti upotrebu mineralnih
gnojiva i pesticida, povećati prinose i
poboljšati kvalitetu poljoprivrednih
proizvoda i hrane.
Projekt traje 36 mjeseci. Ukupna vrijednost projekta 7.877.709,64kn</t>
  </si>
  <si>
    <t>ZIC- ZNANSTVENO-ISTRAŽIVAČKI CENTAR  za vinovu lozu i vino Mandićevac KK.01.1.1.09.0021</t>
  </si>
  <si>
    <t>svibanj 2021.</t>
  </si>
  <si>
    <t>BIO PARK - Razvojno istraživački BioPark za animalnu proizvodnju i biotehnologiju KK.01.1.1.09.0020</t>
  </si>
  <si>
    <t>travanj 2021.</t>
  </si>
  <si>
    <t>lipanj 2022.</t>
  </si>
  <si>
    <t>BIO PARK - Razvojno istraživački BioPark za animalnu proizvodnju i biotehnologiju KK.01.1.1.09.0020 Izrada projektno tehničke dokumentacije za BoprPark Antunovac, troškovi komunalnog i vodnog doprinosa, studija izvedivosti i u konačnici inovacije proizvodnog procesa, poboljšanje rezultata proizvodnje divljači, riva i pčelinjih proizvoda</t>
  </si>
  <si>
    <t>Ivanka Ivanović, dipl.oec, Ksenija Arežina dipl. oec.</t>
  </si>
  <si>
    <t>031/554-853</t>
  </si>
  <si>
    <t>karezina@fazos.hr</t>
  </si>
  <si>
    <t>MINISTARSTVO POLJOPRIVREDE (1079)</t>
  </si>
  <si>
    <t>SVEUČILIŠTE J. J. STROSSMAYERA U OSIJEKU (2452)</t>
  </si>
  <si>
    <t>Osijek, 29.11.2022.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</si>
</sst>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0" fillId="0" borderId="29" xfId="0" applyNumberFormat="1" applyFont="1" applyFill="1" applyBorder="1" applyAlignment="1">
      <alignment horizontal="right" vertical="center"/>
    </xf>
    <xf numFmtId="0" fontId="80" fillId="0" borderId="29" xfId="0" applyFont="1" applyFill="1" applyBorder="1" applyAlignment="1">
      <alignment horizontal="left" vertical="center"/>
    </xf>
    <xf numFmtId="0" fontId="80" fillId="52" borderId="29" xfId="2" applyFont="1" applyFill="1" applyBorder="1" applyAlignment="1" applyProtection="1">
      <alignment horizontal="left" vertical="center"/>
    </xf>
    <xf numFmtId="168" fontId="80" fillId="0" borderId="29" xfId="0" applyNumberFormat="1" applyFont="1" applyFill="1" applyBorder="1" applyAlignment="1">
      <alignment horizontal="center" vertical="center"/>
    </xf>
    <xf numFmtId="49" fontId="80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3" fontId="0" fillId="0" borderId="6" xfId="0" applyNumberFormat="1" applyBorder="1" applyProtection="1">
      <protection locked="0"/>
    </xf>
    <xf numFmtId="0" fontId="24" fillId="0" borderId="1" xfId="18" applyNumberFormat="1" applyFont="1" applyFill="1" applyAlignment="1" applyProtection="1">
      <alignment horizontal="right" vertical="center" wrapText="1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topLeftCell="A16" workbookViewId="0">
      <selection activeCell="C3" sqref="C3:E3"/>
    </sheetView>
  </sheetViews>
  <sheetFormatPr defaultColWidth="0" defaultRowHeight="12.75" zeroHeight="1"/>
  <cols>
    <col min="1" max="1" width="7.5703125" style="97" customWidth="1"/>
    <col min="2" max="2" width="36.140625" style="97" bestFit="1" customWidth="1"/>
    <col min="3" max="3" width="21.42578125" style="97" customWidth="1"/>
    <col min="4" max="4" width="21.140625" style="97" customWidth="1"/>
    <col min="5" max="5" width="21.7109375" style="97" customWidth="1"/>
    <col min="6" max="6" width="11.42578125" style="97" customWidth="1"/>
    <col min="7" max="11" width="11.42578125" style="97" hidden="1" customWidth="1"/>
    <col min="12" max="12" width="16.42578125" style="97" hidden="1" customWidth="1"/>
    <col min="13" max="13" width="7.85546875" style="97" hidden="1" customWidth="1"/>
    <col min="14" max="14" width="97.5703125" style="97" hidden="1" customWidth="1"/>
    <col min="15" max="15" width="19.5703125" style="97" hidden="1" customWidth="1"/>
    <col min="16" max="18" width="11.42578125" style="97" hidden="1" customWidth="1"/>
    <col min="19" max="19" width="12.85546875" style="97" hidden="1" customWidth="1"/>
    <col min="20" max="26" width="11.42578125" style="97" hidden="1" customWidth="1"/>
    <col min="27" max="16384" width="14.425781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2" t="s">
        <v>5277</v>
      </c>
      <c r="D3" s="353"/>
      <c r="E3" s="354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thickBot="1">
      <c r="A4" s="98"/>
      <c r="B4" s="137" t="s">
        <v>0</v>
      </c>
      <c r="C4" s="355" t="s">
        <v>5320</v>
      </c>
      <c r="D4" s="356"/>
      <c r="E4" s="357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thickBot="1">
      <c r="A5" s="99"/>
      <c r="B5" s="137" t="s">
        <v>1</v>
      </c>
      <c r="C5" s="355" t="s">
        <v>5315</v>
      </c>
      <c r="D5" s="356"/>
      <c r="E5" s="357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75" thickBot="1">
      <c r="A6" s="102"/>
      <c r="B6" s="137" t="s">
        <v>2</v>
      </c>
      <c r="C6" s="355" t="s">
        <v>5316</v>
      </c>
      <c r="D6" s="356"/>
      <c r="E6" s="357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75" thickBot="1">
      <c r="A7" s="102"/>
      <c r="B7" s="137" t="s">
        <v>263</v>
      </c>
      <c r="C7" s="355" t="s">
        <v>5317</v>
      </c>
      <c r="D7" s="356"/>
      <c r="E7" s="357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5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62" t="s">
        <v>5270</v>
      </c>
      <c r="C9" s="361"/>
      <c r="D9" s="361"/>
      <c r="E9" s="361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62" t="s">
        <v>3</v>
      </c>
      <c r="C11" s="361"/>
      <c r="D11" s="361"/>
      <c r="E11" s="361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8" t="s">
        <v>5082</v>
      </c>
      <c r="C13" s="359"/>
      <c r="D13" s="359"/>
      <c r="E13" s="359"/>
      <c r="F13" s="341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30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11297524</v>
      </c>
      <c r="D16" s="107">
        <f>+D17+D18</f>
        <v>9993161</v>
      </c>
      <c r="E16" s="107">
        <f>+E17+E18</f>
        <v>9970064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11297524</v>
      </c>
      <c r="D17" s="110">
        <f>+'A.1 PRIHODI'!D30</f>
        <v>9993161</v>
      </c>
      <c r="E17" s="110">
        <f>+'A.1 PRIHODI'!D44</f>
        <v>9970064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11297524.066825934</v>
      </c>
      <c r="D19" s="114">
        <f>+D20+D21</f>
        <v>9993161.3604087867</v>
      </c>
      <c r="E19" s="114">
        <f>+E20+E21</f>
        <v>9970063.5383237116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10892661.376932776</v>
      </c>
      <c r="D20" s="116">
        <f>+'A.2 RASHODI'!D22</f>
        <v>9845386.9758444484</v>
      </c>
      <c r="E20" s="116">
        <f>+'A.2 RASHODI'!D39</f>
        <v>9827729.2576813325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404862.68989315815</v>
      </c>
      <c r="D21" s="116">
        <f>+'A.2 RASHODI'!D30</f>
        <v>147774.38456433738</v>
      </c>
      <c r="E21" s="116">
        <f>+'A.2 RASHODI'!D47</f>
        <v>142334.28064237838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5">
      <c r="A22" s="106"/>
      <c r="B22" s="106" t="s">
        <v>10</v>
      </c>
      <c r="C22" s="107">
        <f>+C16-C19</f>
        <v>-6.6825933754444122E-2</v>
      </c>
      <c r="D22" s="107">
        <f>+D16-D19</f>
        <v>-0.36040878668427467</v>
      </c>
      <c r="E22" s="107">
        <f>+E16-E19</f>
        <v>0.46167628839612007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60"/>
      <c r="C23" s="361"/>
      <c r="D23" s="361"/>
      <c r="E23" s="361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5">
      <c r="A24" s="238"/>
      <c r="B24" s="362" t="s">
        <v>5085</v>
      </c>
      <c r="C24" s="361"/>
      <c r="D24" s="361"/>
      <c r="E24" s="361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5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2">
        <v>52565</v>
      </c>
      <c r="N25" s="323" t="s">
        <v>5193</v>
      </c>
      <c r="O25" s="324" t="s">
        <v>277</v>
      </c>
      <c r="P25" s="323" t="s">
        <v>517</v>
      </c>
      <c r="Q25" s="164" t="s">
        <v>279</v>
      </c>
      <c r="R25" s="325">
        <v>5619696</v>
      </c>
      <c r="S25" s="326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30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30">
      <c r="A28" s="109">
        <v>5</v>
      </c>
      <c r="B28" s="106" t="s">
        <v>14</v>
      </c>
      <c r="C28" s="110">
        <f>+'B. RAČUN FIN'!D11</f>
        <v>18053</v>
      </c>
      <c r="D28" s="110">
        <f>+'B. RAČUN FIN'!D22</f>
        <v>18639</v>
      </c>
      <c r="E28" s="110">
        <f>+'B. RAČUN FIN'!D33</f>
        <v>19244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30">
      <c r="A29" s="117" t="s">
        <v>11</v>
      </c>
      <c r="B29" s="299" t="s">
        <v>5083</v>
      </c>
      <c r="C29" s="115">
        <f>+'Unos prijenosa'!D5</f>
        <v>1734969</v>
      </c>
      <c r="D29" s="115">
        <f>+'Unos prijenosa'!D13</f>
        <v>1716916</v>
      </c>
      <c r="E29" s="115">
        <f>+'Unos prijenosa'!D21</f>
        <v>1698277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30">
      <c r="A30" s="117" t="s">
        <v>12</v>
      </c>
      <c r="B30" s="299" t="s">
        <v>5084</v>
      </c>
      <c r="C30" s="119">
        <f>+'Unos prijenosa'!D7</f>
        <v>-1716916</v>
      </c>
      <c r="D30" s="119">
        <f>+'Unos prijenosa'!D15</f>
        <v>-1698277</v>
      </c>
      <c r="E30" s="120">
        <f>+'Unos prijenosa'!D23</f>
        <v>-1679033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5">
      <c r="A31" s="106"/>
      <c r="B31" s="106" t="s">
        <v>15</v>
      </c>
      <c r="C31" s="114">
        <f>+C27-C28+C29+C30</f>
        <v>0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60"/>
      <c r="C32" s="361"/>
      <c r="D32" s="361"/>
      <c r="E32" s="361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30">
      <c r="A33" s="123"/>
      <c r="B33" s="123" t="s">
        <v>5086</v>
      </c>
      <c r="C33" s="124">
        <f>+C22+C31</f>
        <v>-6.6825933754444122E-2</v>
      </c>
      <c r="D33" s="124">
        <f>+D22+D31</f>
        <v>-0.36040878668427467</v>
      </c>
      <c r="E33" s="124">
        <f>+E22+E31</f>
        <v>0.46167628839612007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5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5">
      <c r="A55" s="339"/>
      <c r="B55" s="362" t="s">
        <v>5270</v>
      </c>
      <c r="C55" s="361"/>
      <c r="D55" s="361"/>
      <c r="E55" s="361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75">
      <c r="A56" s="339"/>
      <c r="B56" s="340"/>
      <c r="C56" s="339"/>
      <c r="D56" s="339"/>
      <c r="E56" s="339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5">
      <c r="A57" s="339"/>
      <c r="B57" s="362" t="s">
        <v>3</v>
      </c>
      <c r="C57" s="361"/>
      <c r="D57" s="361"/>
      <c r="E57" s="361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75">
      <c r="A58" s="339"/>
      <c r="B58" s="340"/>
      <c r="C58" s="339"/>
      <c r="D58" s="339"/>
      <c r="E58" s="339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5">
      <c r="A59" s="339"/>
      <c r="B59" s="358" t="s">
        <v>5082</v>
      </c>
      <c r="C59" s="359"/>
      <c r="D59" s="359"/>
      <c r="E59" s="359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5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5">
      <c r="A62" s="106"/>
      <c r="B62" s="106" t="s">
        <v>4</v>
      </c>
      <c r="C62" s="107">
        <f>SUM(C63:C64)</f>
        <v>85121194.578000009</v>
      </c>
      <c r="D62" s="107">
        <f>+D63+D64</f>
        <v>75293471.554499999</v>
      </c>
      <c r="E62" s="107">
        <f>+E63+E64</f>
        <v>75119447.208000004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85121194.578000009</v>
      </c>
      <c r="D63" s="110">
        <f t="shared" ref="D63:E63" si="3">+D17*7.5345</f>
        <v>75293471.554499999</v>
      </c>
      <c r="E63" s="110">
        <f t="shared" si="3"/>
        <v>75119447.208000004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5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85121195.081500009</v>
      </c>
      <c r="D65" s="114">
        <f>+D66+D67</f>
        <v>75293474.270000011</v>
      </c>
      <c r="E65" s="114">
        <f>+E66+E67</f>
        <v>75119443.729500011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5">
      <c r="A66" s="113">
        <v>3</v>
      </c>
      <c r="B66" s="106" t="s">
        <v>8</v>
      </c>
      <c r="C66" s="110">
        <f>+C20*7.5345</f>
        <v>82070757.144500002</v>
      </c>
      <c r="D66" s="110">
        <f t="shared" si="4"/>
        <v>74180068.169500008</v>
      </c>
      <c r="E66" s="110">
        <f t="shared" si="4"/>
        <v>74047026.092000008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5">
      <c r="A67" s="109">
        <v>4</v>
      </c>
      <c r="B67" s="111" t="s">
        <v>9</v>
      </c>
      <c r="C67" s="110">
        <f>+C21*7.5345</f>
        <v>3050437.9370000004</v>
      </c>
      <c r="D67" s="110">
        <f t="shared" si="4"/>
        <v>1113406.1004999999</v>
      </c>
      <c r="E67" s="110">
        <f t="shared" si="4"/>
        <v>1072417.6375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5">
      <c r="A68" s="106"/>
      <c r="B68" s="106" t="s">
        <v>10</v>
      </c>
      <c r="C68" s="107">
        <f>+C62-C65</f>
        <v>-0.50349999964237213</v>
      </c>
      <c r="D68" s="107">
        <f>+D62-D65</f>
        <v>-2.7155000120401382</v>
      </c>
      <c r="E68" s="107">
        <f>+E62-E65</f>
        <v>3.4784999936819077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5">
      <c r="A69" s="339"/>
      <c r="B69" s="360"/>
      <c r="C69" s="361"/>
      <c r="D69" s="361"/>
      <c r="E69" s="361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5">
      <c r="A70" s="339"/>
      <c r="B70" s="362" t="s">
        <v>5085</v>
      </c>
      <c r="C70" s="361"/>
      <c r="D70" s="361"/>
      <c r="E70" s="361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5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30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30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30">
      <c r="A74" s="109">
        <v>5</v>
      </c>
      <c r="B74" s="106" t="s">
        <v>14</v>
      </c>
      <c r="C74" s="110">
        <f t="shared" ref="C74:E74" si="8">+C28*7.5345</f>
        <v>136020.3285</v>
      </c>
      <c r="D74" s="110">
        <f t="shared" si="8"/>
        <v>140435.54550000001</v>
      </c>
      <c r="E74" s="110">
        <f t="shared" si="8"/>
        <v>144993.91800000001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30">
      <c r="A75" s="117" t="s">
        <v>11</v>
      </c>
      <c r="B75" s="299" t="s">
        <v>5083</v>
      </c>
      <c r="C75" s="110">
        <f t="shared" ref="C75:E75" si="9">+C29*7.5345</f>
        <v>13072123.930500001</v>
      </c>
      <c r="D75" s="110">
        <f t="shared" si="9"/>
        <v>12936103.602</v>
      </c>
      <c r="E75" s="110">
        <f t="shared" si="9"/>
        <v>12795668.056500001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-12936103.602</v>
      </c>
      <c r="D76" s="110">
        <f t="shared" si="10"/>
        <v>-12795668.056500001</v>
      </c>
      <c r="E76" s="110">
        <f t="shared" si="10"/>
        <v>-12650674.138500001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5">
      <c r="A77" s="106"/>
      <c r="B77" s="106" t="s">
        <v>15</v>
      </c>
      <c r="C77" s="114">
        <f>+C73-C74+C75+C76</f>
        <v>0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5">
      <c r="A78" s="339"/>
      <c r="B78" s="360"/>
      <c r="C78" s="361"/>
      <c r="D78" s="361"/>
      <c r="E78" s="361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30">
      <c r="A79" s="123"/>
      <c r="B79" s="123" t="s">
        <v>5086</v>
      </c>
      <c r="C79" s="124">
        <f>+C68+C77</f>
        <v>-0.50349999964237213</v>
      </c>
      <c r="D79" s="124">
        <f t="shared" ref="D79:E79" si="12">+D68+D77</f>
        <v>-2.7155000120401382</v>
      </c>
      <c r="E79" s="124">
        <f t="shared" si="12"/>
        <v>3.4784999936819077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5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5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5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5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5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5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5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5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5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5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5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5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5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5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5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5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5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5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5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5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5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5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5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5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5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5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5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5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5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5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5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5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5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5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5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5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5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5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5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5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5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5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5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5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5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5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5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5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5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5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5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5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5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5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5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5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5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5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24"/>
  <sheetViews>
    <sheetView showGridLines="0" zoomScale="90" zoomScaleNormal="90" workbookViewId="0">
      <pane ySplit="2" topLeftCell="A3" activePane="bottomLeft" state="frozen"/>
      <selection pane="bottomLeft" activeCell="G7" sqref="G7:G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63" t="s">
        <v>5271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f>6925117+916869</f>
        <v>7841986</v>
      </c>
      <c r="H3" s="128">
        <f>6925117+954133</f>
        <v>7879250</v>
      </c>
      <c r="I3" s="128">
        <f>6925117+991573</f>
        <v>7916690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11</v>
      </c>
      <c r="D4" s="83" t="str">
        <f t="shared" si="1"/>
        <v>Opći prihodi i primici</v>
      </c>
      <c r="E4" s="95" t="s">
        <v>650</v>
      </c>
      <c r="F4" s="134" t="str">
        <f t="shared" si="2"/>
        <v>Prihodi iz nadležnog proračuna za financiranje redovne djelatnosti proračunskih korisnika</v>
      </c>
      <c r="G4" s="128">
        <v>428553</v>
      </c>
      <c r="H4" s="128">
        <v>428553</v>
      </c>
      <c r="I4" s="128">
        <v>428553</v>
      </c>
      <c r="J4" s="95"/>
      <c r="L4" s="86" t="str">
        <f t="shared" ref="L4:L67" si="3">LEFT(E4,2)</f>
        <v>67</v>
      </c>
      <c r="M4" s="86" t="str">
        <f t="shared" ref="M4:M67" si="4">LEFT(E4,3)</f>
        <v>671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11</v>
      </c>
      <c r="D5" s="83" t="str">
        <f t="shared" si="1"/>
        <v>Opći prihodi i primici</v>
      </c>
      <c r="E5" s="95" t="s">
        <v>650</v>
      </c>
      <c r="F5" s="134" t="str">
        <f t="shared" si="2"/>
        <v>Prihodi iz nadležnog proračuna za financiranje redovne djelatnosti proračunskih korisnika</v>
      </c>
      <c r="G5" s="128">
        <v>37811</v>
      </c>
      <c r="H5" s="128">
        <v>37811</v>
      </c>
      <c r="I5" s="128">
        <v>37811</v>
      </c>
      <c r="J5" s="95"/>
      <c r="L5" s="86" t="str">
        <f t="shared" si="3"/>
        <v>67</v>
      </c>
      <c r="M5" s="86" t="str">
        <f t="shared" si="4"/>
        <v>671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12</v>
      </c>
      <c r="D6" s="83" t="str">
        <f t="shared" si="1"/>
        <v>Sredstva učešća za pomoći</v>
      </c>
      <c r="E6" s="95" t="s">
        <v>651</v>
      </c>
      <c r="F6" s="134" t="str">
        <f t="shared" si="2"/>
        <v>Prihodi iz nadležnog proračuna za financiranje redovne djelatnosti proračunskih korisnika</v>
      </c>
      <c r="G6" s="128">
        <v>74782</v>
      </c>
      <c r="H6" s="128">
        <v>0</v>
      </c>
      <c r="I6" s="128">
        <v>0</v>
      </c>
      <c r="J6" s="95"/>
      <c r="L6" s="86" t="str">
        <f t="shared" si="3"/>
        <v>67</v>
      </c>
      <c r="M6" s="86" t="str">
        <f t="shared" si="4"/>
        <v>671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08006</v>
      </c>
      <c r="B7" s="84" t="str">
        <f>IF(E7="","",VLOOKUP('OPĆI DIO'!$C$3,'OPĆI DIO'!$L$6:$U$138,9,FALSE))</f>
        <v>Sveučilišta i veleučilišta u Republici Hrvatskoj</v>
      </c>
      <c r="C7" s="130">
        <f t="shared" si="0"/>
        <v>31</v>
      </c>
      <c r="D7" s="83" t="str">
        <f t="shared" si="1"/>
        <v>Vlastiti prihodi</v>
      </c>
      <c r="E7" s="95">
        <v>6614</v>
      </c>
      <c r="F7" s="134" t="str">
        <f t="shared" si="2"/>
        <v>Prihodi od prodanih proizvoda i robe</v>
      </c>
      <c r="G7" s="128">
        <v>199084</v>
      </c>
      <c r="H7" s="128">
        <v>190000</v>
      </c>
      <c r="I7" s="128">
        <v>190000</v>
      </c>
      <c r="J7" s="95"/>
      <c r="L7" s="86" t="str">
        <f t="shared" si="3"/>
        <v>66</v>
      </c>
      <c r="M7" s="86" t="str">
        <f t="shared" si="4"/>
        <v>661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>08006</v>
      </c>
      <c r="B8" s="84" t="str">
        <f>IF(E8="","",VLOOKUP('OPĆI DIO'!$C$3,'OPĆI DIO'!$L$6:$U$138,9,FALSE))</f>
        <v>Sveučilišta i veleučilišta u Republici Hrvatskoj</v>
      </c>
      <c r="C8" s="130">
        <f t="shared" si="0"/>
        <v>31</v>
      </c>
      <c r="D8" s="83" t="str">
        <f t="shared" si="1"/>
        <v>Vlastiti prihodi</v>
      </c>
      <c r="E8" s="95">
        <v>6615</v>
      </c>
      <c r="F8" s="134" t="str">
        <f t="shared" si="2"/>
        <v>Prihodi od pruženih usluga</v>
      </c>
      <c r="G8" s="128">
        <v>411440</v>
      </c>
      <c r="H8" s="128">
        <f>390000-51713</f>
        <v>338287</v>
      </c>
      <c r="I8" s="128">
        <f>390000-53247</f>
        <v>336753</v>
      </c>
      <c r="J8" s="95"/>
      <c r="L8" s="86" t="str">
        <f t="shared" si="3"/>
        <v>66</v>
      </c>
      <c r="M8" s="86" t="str">
        <f t="shared" si="4"/>
        <v>661</v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>08006</v>
      </c>
      <c r="B9" s="84" t="str">
        <f>IF(E9="","",VLOOKUP('OPĆI DIO'!$C$3,'OPĆI DIO'!$L$6:$U$138,9,FALSE))</f>
        <v>Sveučilišta i veleučilišta u Republici Hrvatskoj</v>
      </c>
      <c r="C9" s="130">
        <f t="shared" si="0"/>
        <v>43</v>
      </c>
      <c r="D9" s="83" t="str">
        <f t="shared" si="1"/>
        <v>Ostali prihodi za posebne namjene</v>
      </c>
      <c r="E9" s="95">
        <v>65264</v>
      </c>
      <c r="F9" s="134" t="str">
        <f t="shared" si="2"/>
        <v>Sufinanciranje cijene usluge, participacije i slično</v>
      </c>
      <c r="G9" s="128">
        <v>371624</v>
      </c>
      <c r="H9" s="128">
        <v>375000</v>
      </c>
      <c r="I9" s="128">
        <v>380000</v>
      </c>
      <c r="J9" s="95"/>
      <c r="L9" s="86" t="str">
        <f t="shared" si="3"/>
        <v>65</v>
      </c>
      <c r="M9" s="86" t="str">
        <f t="shared" si="4"/>
        <v>652</v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>08006</v>
      </c>
      <c r="B10" s="84" t="str">
        <f>IF(E10="","",VLOOKUP('OPĆI DIO'!$C$3,'OPĆI DIO'!$L$6:$U$138,9,FALSE))</f>
        <v>Sveučilišta i veleučilišta u Republici Hrvatskoj</v>
      </c>
      <c r="C10" s="130">
        <f t="shared" si="0"/>
        <v>43</v>
      </c>
      <c r="D10" s="83" t="str">
        <f t="shared" si="1"/>
        <v>Ostali prihodi za posebne namjene</v>
      </c>
      <c r="E10" s="95">
        <v>65268</v>
      </c>
      <c r="F10" s="134" t="str">
        <f t="shared" si="2"/>
        <v xml:space="preserve">Ostali prihodi za posebne namjene </v>
      </c>
      <c r="G10" s="128">
        <v>15926</v>
      </c>
      <c r="H10" s="128">
        <v>16000</v>
      </c>
      <c r="I10" s="128">
        <v>16000</v>
      </c>
      <c r="J10" s="95"/>
      <c r="L10" s="86" t="str">
        <f t="shared" si="3"/>
        <v>65</v>
      </c>
      <c r="M10" s="86" t="str">
        <f t="shared" si="4"/>
        <v>652</v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>08006</v>
      </c>
      <c r="B11" s="84" t="str">
        <f>IF(E11="","",VLOOKUP('OPĆI DIO'!$C$3,'OPĆI DIO'!$L$6:$U$138,9,FALSE))</f>
        <v>Sveučilišta i veleučilišta u Republici Hrvatskoj</v>
      </c>
      <c r="C11" s="130">
        <f t="shared" si="0"/>
        <v>52</v>
      </c>
      <c r="D11" s="83" t="str">
        <f t="shared" si="1"/>
        <v xml:space="preserve">Ostale pomoći i darovnice </v>
      </c>
      <c r="E11" s="95">
        <v>6391</v>
      </c>
      <c r="F11" s="134" t="str">
        <f t="shared" si="2"/>
        <v>Tekući prijenosi između proračunskih korisnika istog proračuna</v>
      </c>
      <c r="G11" s="128">
        <v>65732</v>
      </c>
      <c r="H11" s="128">
        <v>46593</v>
      </c>
      <c r="I11" s="128">
        <v>24516</v>
      </c>
      <c r="J11" s="95" t="s">
        <v>5278</v>
      </c>
      <c r="L11" s="86" t="str">
        <f t="shared" si="3"/>
        <v>63</v>
      </c>
      <c r="M11" s="86" t="str">
        <f t="shared" si="4"/>
        <v>639</v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>08006</v>
      </c>
      <c r="B12" s="84" t="str">
        <f>IF(E12="","",VLOOKUP('OPĆI DIO'!$C$3,'OPĆI DIO'!$L$6:$U$138,9,FALSE))</f>
        <v>Sveučilišta i veleučilišta u Republici Hrvatskoj</v>
      </c>
      <c r="C12" s="130">
        <f t="shared" si="0"/>
        <v>52</v>
      </c>
      <c r="D12" s="83" t="str">
        <f t="shared" si="1"/>
        <v xml:space="preserve">Ostale pomoći i darovnice </v>
      </c>
      <c r="E12" s="95">
        <v>6391</v>
      </c>
      <c r="F12" s="134" t="str">
        <f t="shared" si="2"/>
        <v>Tekući prijenosi između proračunskih korisnika istog proračuna</v>
      </c>
      <c r="G12" s="128">
        <v>30028</v>
      </c>
      <c r="H12" s="128">
        <v>14218</v>
      </c>
      <c r="I12" s="128">
        <v>14218</v>
      </c>
      <c r="J12" s="95" t="s">
        <v>5278</v>
      </c>
      <c r="L12" s="86" t="str">
        <f t="shared" si="3"/>
        <v>63</v>
      </c>
      <c r="M12" s="86" t="str">
        <f t="shared" si="4"/>
        <v>639</v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>08006</v>
      </c>
      <c r="B13" s="84" t="str">
        <f>IF(E13="","",VLOOKUP('OPĆI DIO'!$C$3,'OPĆI DIO'!$L$6:$U$138,9,FALSE))</f>
        <v>Sveučilišta i veleučilišta u Republici Hrvatskoj</v>
      </c>
      <c r="C13" s="130">
        <f t="shared" si="0"/>
        <v>52</v>
      </c>
      <c r="D13" s="83" t="str">
        <f t="shared" si="1"/>
        <v xml:space="preserve">Ostale pomoći i darovnice </v>
      </c>
      <c r="E13" s="95">
        <v>6391</v>
      </c>
      <c r="F13" s="134" t="str">
        <f t="shared" si="2"/>
        <v>Tekući prijenosi između proračunskih korisnika istog proračuna</v>
      </c>
      <c r="G13" s="128">
        <v>39950</v>
      </c>
      <c r="H13" s="128">
        <v>27673</v>
      </c>
      <c r="I13" s="128">
        <v>0</v>
      </c>
      <c r="J13" s="95" t="s">
        <v>5278</v>
      </c>
      <c r="L13" s="86" t="str">
        <f t="shared" si="3"/>
        <v>63</v>
      </c>
      <c r="M13" s="86" t="str">
        <f t="shared" si="4"/>
        <v>639</v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>08006</v>
      </c>
      <c r="B14" s="84" t="str">
        <f>IF(E14="","",VLOOKUP('OPĆI DIO'!$C$3,'OPĆI DIO'!$L$6:$U$138,9,FALSE))</f>
        <v>Sveučilišta i veleučilišta u Republici Hrvatskoj</v>
      </c>
      <c r="C14" s="130">
        <f t="shared" si="0"/>
        <v>52</v>
      </c>
      <c r="D14" s="83" t="str">
        <f t="shared" si="1"/>
        <v xml:space="preserve">Ostale pomoći i darovnice </v>
      </c>
      <c r="E14" s="95">
        <v>6391</v>
      </c>
      <c r="F14" s="134" t="str">
        <f t="shared" si="2"/>
        <v>Tekući prijenosi između proračunskih korisnika istog proračuna</v>
      </c>
      <c r="G14" s="128">
        <v>3053</v>
      </c>
      <c r="H14" s="128">
        <v>3053</v>
      </c>
      <c r="I14" s="128">
        <v>3053</v>
      </c>
      <c r="J14" s="95" t="s">
        <v>5318</v>
      </c>
      <c r="L14" s="86" t="str">
        <f t="shared" si="3"/>
        <v>63</v>
      </c>
      <c r="M14" s="86" t="str">
        <f t="shared" si="4"/>
        <v>639</v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>08006</v>
      </c>
      <c r="B15" s="84" t="str">
        <f>IF(E15="","",VLOOKUP('OPĆI DIO'!$C$3,'OPĆI DIO'!$L$6:$U$138,9,FALSE))</f>
        <v>Sveučilišta i veleučilišta u Republici Hrvatskoj</v>
      </c>
      <c r="C15" s="130">
        <f t="shared" si="0"/>
        <v>52</v>
      </c>
      <c r="D15" s="83" t="str">
        <f t="shared" si="1"/>
        <v xml:space="preserve">Ostale pomoći i darovnice </v>
      </c>
      <c r="E15" s="95">
        <v>6391</v>
      </c>
      <c r="F15" s="134" t="str">
        <f t="shared" si="2"/>
        <v>Tekući prijenosi između proračunskih korisnika istog proračuna</v>
      </c>
      <c r="G15" s="128">
        <v>622470</v>
      </c>
      <c r="H15" s="128">
        <v>622740</v>
      </c>
      <c r="I15" s="128">
        <v>622470</v>
      </c>
      <c r="J15" s="95" t="s">
        <v>5318</v>
      </c>
      <c r="L15" s="86" t="str">
        <f t="shared" si="3"/>
        <v>63</v>
      </c>
      <c r="M15" s="86" t="str">
        <f t="shared" si="4"/>
        <v>639</v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>08006</v>
      </c>
      <c r="B16" s="84" t="str">
        <f>IF(E16="","",VLOOKUP('OPĆI DIO'!$C$3,'OPĆI DIO'!$L$6:$U$138,9,FALSE))</f>
        <v>Sveučilišta i veleučilišta u Republici Hrvatskoj</v>
      </c>
      <c r="C16" s="130">
        <f t="shared" si="0"/>
        <v>52</v>
      </c>
      <c r="D16" s="83" t="str">
        <f t="shared" si="1"/>
        <v xml:space="preserve">Ostale pomoći i darovnice </v>
      </c>
      <c r="E16" s="95">
        <v>6391</v>
      </c>
      <c r="F16" s="134" t="str">
        <f t="shared" si="2"/>
        <v>Tekući prijenosi između proračunskih korisnika istog proračuna</v>
      </c>
      <c r="G16" s="128">
        <v>212356</v>
      </c>
      <c r="H16" s="128">
        <v>0</v>
      </c>
      <c r="I16" s="128">
        <v>0</v>
      </c>
      <c r="J16" s="95" t="s">
        <v>5319</v>
      </c>
      <c r="L16" s="86" t="str">
        <f t="shared" si="3"/>
        <v>63</v>
      </c>
      <c r="M16" s="86" t="str">
        <f t="shared" si="4"/>
        <v>639</v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>08006</v>
      </c>
      <c r="B17" s="84" t="str">
        <f>IF(E17="","",VLOOKUP('OPĆI DIO'!$C$3,'OPĆI DIO'!$L$6:$U$138,9,FALSE))</f>
        <v>Sveučilišta i veleučilišta u Republici Hrvatskoj</v>
      </c>
      <c r="C17" s="130">
        <f t="shared" si="0"/>
        <v>52</v>
      </c>
      <c r="D17" s="83" t="str">
        <f t="shared" si="1"/>
        <v xml:space="preserve">Ostale pomoći i darovnice </v>
      </c>
      <c r="E17" s="95">
        <v>6393</v>
      </c>
      <c r="F17" s="134" t="str">
        <f t="shared" si="2"/>
        <v>Tekući prijenosi između proračunskih korisnika istog proračuna temeljem prijenosa EU sredstava</v>
      </c>
      <c r="G17" s="128">
        <v>26545</v>
      </c>
      <c r="H17" s="128">
        <v>0</v>
      </c>
      <c r="I17" s="128">
        <v>0</v>
      </c>
      <c r="J17" s="95" t="s">
        <v>5318</v>
      </c>
      <c r="L17" s="86" t="str">
        <f t="shared" si="3"/>
        <v>63</v>
      </c>
      <c r="M17" s="86" t="str">
        <f t="shared" si="4"/>
        <v>639</v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>08006</v>
      </c>
      <c r="B18" s="84" t="str">
        <f>IF(E18="","",VLOOKUP('OPĆI DIO'!$C$3,'OPĆI DIO'!$L$6:$U$138,9,FALSE))</f>
        <v>Sveučilišta i veleučilišta u Republici Hrvatskoj</v>
      </c>
      <c r="C18" s="130">
        <f t="shared" si="0"/>
        <v>52</v>
      </c>
      <c r="D18" s="83" t="str">
        <f t="shared" si="1"/>
        <v xml:space="preserve">Ostale pomoći i darovnice </v>
      </c>
      <c r="E18" s="95">
        <v>6393</v>
      </c>
      <c r="F18" s="134" t="str">
        <f t="shared" si="2"/>
        <v>Tekući prijenosi između proračunskih korisnika istog proračuna temeljem prijenosa EU sredstava</v>
      </c>
      <c r="G18" s="128">
        <v>19908</v>
      </c>
      <c r="H18" s="128">
        <v>0</v>
      </c>
      <c r="I18" s="128">
        <v>0</v>
      </c>
      <c r="J18" s="95" t="s">
        <v>5318</v>
      </c>
      <c r="L18" s="86" t="str">
        <f t="shared" si="3"/>
        <v>63</v>
      </c>
      <c r="M18" s="86" t="str">
        <f t="shared" si="4"/>
        <v>639</v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>08006</v>
      </c>
      <c r="B19" s="84" t="str">
        <f>IF(E19="","",VLOOKUP('OPĆI DIO'!$C$3,'OPĆI DIO'!$L$6:$U$138,9,FALSE))</f>
        <v>Sveučilišta i veleučilišta u Republici Hrvatskoj</v>
      </c>
      <c r="C19" s="130">
        <f t="shared" si="0"/>
        <v>51</v>
      </c>
      <c r="D19" s="83" t="str">
        <f t="shared" si="1"/>
        <v xml:space="preserve">Pomoći EU </v>
      </c>
      <c r="E19" s="95">
        <v>632311700</v>
      </c>
      <c r="F19" s="134" t="str">
        <f t="shared" si="2"/>
        <v>Tekuće pomoći od institucija i tijela EU - ostalo</v>
      </c>
      <c r="G19" s="128">
        <v>13983</v>
      </c>
      <c r="H19" s="128">
        <v>13983</v>
      </c>
      <c r="I19" s="128">
        <v>0</v>
      </c>
      <c r="J19" s="95"/>
      <c r="L19" s="86" t="str">
        <f t="shared" si="3"/>
        <v>63</v>
      </c>
      <c r="M19" s="86" t="str">
        <f t="shared" si="4"/>
        <v>632</v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>08006</v>
      </c>
      <c r="B20" s="84" t="str">
        <f>IF(E20="","",VLOOKUP('OPĆI DIO'!$C$3,'OPĆI DIO'!$L$6:$U$138,9,FALSE))</f>
        <v>Sveučilišta i veleučilišta u Republici Hrvatskoj</v>
      </c>
      <c r="C20" s="130">
        <f t="shared" si="0"/>
        <v>61</v>
      </c>
      <c r="D20" s="83" t="str">
        <f t="shared" si="1"/>
        <v xml:space="preserve">Donacije </v>
      </c>
      <c r="E20" s="95">
        <v>663130000</v>
      </c>
      <c r="F20" s="134" t="str">
        <f t="shared" si="2"/>
        <v>Tekuće donacije od trgovačkih društava</v>
      </c>
      <c r="G20" s="128">
        <v>29650</v>
      </c>
      <c r="H20" s="128">
        <v>0</v>
      </c>
      <c r="I20" s="128">
        <v>0</v>
      </c>
      <c r="J20" s="95"/>
      <c r="L20" s="86" t="str">
        <f t="shared" si="3"/>
        <v>66</v>
      </c>
      <c r="M20" s="86" t="str">
        <f t="shared" si="4"/>
        <v>663</v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>08006</v>
      </c>
      <c r="B21" s="84" t="str">
        <f>IF(E21="","",VLOOKUP('OPĆI DIO'!$C$3,'OPĆI DIO'!$L$6:$U$138,9,FALSE))</f>
        <v>Sveučilišta i veleučilišta u Republici Hrvatskoj</v>
      </c>
      <c r="C21" s="130">
        <f t="shared" si="0"/>
        <v>563</v>
      </c>
      <c r="D21" s="83" t="str">
        <f t="shared" si="1"/>
        <v>Europski fond za regionalni razvoj (ERDF)</v>
      </c>
      <c r="E21" s="95">
        <v>632310563</v>
      </c>
      <c r="F21" s="134" t="str">
        <f t="shared" si="2"/>
        <v>Europski fond za regionalni razvoj (EFRR)</v>
      </c>
      <c r="G21" s="128">
        <v>852643</v>
      </c>
      <c r="H21" s="128">
        <v>0</v>
      </c>
      <c r="I21" s="128">
        <v>0</v>
      </c>
      <c r="J21" s="95"/>
      <c r="L21" s="86" t="str">
        <f t="shared" si="3"/>
        <v>63</v>
      </c>
      <c r="M21" s="86" t="str">
        <f t="shared" si="4"/>
        <v>632</v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49"/>
      <c r="L39" s="86" t="str">
        <f t="shared" si="3"/>
        <v/>
      </c>
      <c r="M39" s="342">
        <f>+G11+G12+G37</f>
        <v>95760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8" priority="8">
      <formula>IF(OR(E3=6391,E3=6392,E3=6393,E3=6394),1,0)</formula>
    </cfRule>
  </conditionalFormatting>
  <conditionalFormatting sqref="J4:J6 J19:J499">
    <cfRule type="expression" dxfId="7" priority="7">
      <formula>IF(OR(E4=6391,E4=6392,E4=6393,E4=6394),1,0)</formula>
    </cfRule>
  </conditionalFormatting>
  <conditionalFormatting sqref="J7:J13 J16">
    <cfRule type="expression" dxfId="6" priority="6">
      <formula>IF(OR(E7=6391,E7=6392,E7=6393,E7=6394),1,0)</formula>
    </cfRule>
  </conditionalFormatting>
  <conditionalFormatting sqref="J14:J15">
    <cfRule type="expression" dxfId="5" priority="5">
      <formula>IF(OR(E14=6391,E14=6392,E14=6393,E14=6394),1,0)</formula>
    </cfRule>
  </conditionalFormatting>
  <conditionalFormatting sqref="J14">
    <cfRule type="expression" dxfId="4" priority="4">
      <formula>IF(OR(E14=6391,E14=6392,E14=6393,E14=6394),1,0)</formula>
    </cfRule>
  </conditionalFormatting>
  <conditionalFormatting sqref="J17:J18">
    <cfRule type="expression" dxfId="3" priority="2">
      <formula>IF(OR(E17=6391,E17=6392,E17=6393,E17=6394),1,0)</formula>
    </cfRule>
  </conditionalFormatting>
  <conditionalFormatting sqref="J17">
    <cfRule type="expression" dxfId="2" priority="1">
      <formula>IF(OR(E17=6391,E17=6392,E17=6393,E17=6394),1,0)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="90" zoomScaleNormal="90" workbookViewId="0">
      <pane ySplit="2" topLeftCell="A3" activePane="bottomLeft" state="frozen"/>
      <selection pane="bottomLeft" activeCell="L7" sqref="L7:L9"/>
    </sheetView>
  </sheetViews>
  <sheetFormatPr defaultColWidth="0" defaultRowHeight="15" zeroHeight="1"/>
  <cols>
    <col min="1" max="1" width="8.28515625" style="86" customWidth="1"/>
    <col min="2" max="2" width="20.28515625" style="86" customWidth="1"/>
    <col min="3" max="3" width="11.5703125" style="86" customWidth="1"/>
    <col min="4" max="4" width="33" style="86" customWidth="1"/>
    <col min="5" max="5" width="11.28515625" style="86" customWidth="1"/>
    <col min="6" max="6" width="21.85546875" style="86" customWidth="1"/>
    <col min="7" max="7" width="12.5703125" style="86" customWidth="1"/>
    <col min="8" max="8" width="36.7109375" style="86" customWidth="1"/>
    <col min="9" max="9" width="8.5703125" style="86" customWidth="1"/>
    <col min="10" max="10" width="16.42578125" style="87" customWidth="1"/>
    <col min="11" max="11" width="15.7109375" style="87" customWidth="1"/>
    <col min="12" max="12" width="15.140625" style="87" customWidth="1"/>
    <col min="13" max="13" width="46.42578125" style="87" customWidth="1"/>
    <col min="14" max="14" width="13.7109375" style="86" customWidth="1"/>
    <col min="15" max="19" width="9.140625" style="86" hidden="1" customWidth="1"/>
    <col min="20" max="20" width="46.5703125" style="86" hidden="1" customWidth="1"/>
    <col min="21" max="22" width="9.140625" style="86" hidden="1" customWidth="1"/>
    <col min="23" max="23" width="58.85546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40625" style="86" hidden="1"/>
  </cols>
  <sheetData>
    <row r="1" spans="1:33" ht="35.25" customHeight="1">
      <c r="A1" s="364" t="s">
        <v>5272</v>
      </c>
      <c r="B1" s="364"/>
      <c r="C1" s="364"/>
      <c r="D1" s="364"/>
      <c r="E1" s="133" t="str">
        <f>IF(OR('OPĆI DIO'!C3="odaberite -",'OPĆI DIO'!C3=""),"Molimo odaberite proračunskog korisnika na radnom listu Opći podaci!","")</f>
        <v/>
      </c>
      <c r="L1" s="343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61</v>
      </c>
      <c r="H3" s="91" t="str">
        <f>IFERROR(VLOOKUP(G3,$AB$6:$AC$327,2,FALSE),"")</f>
        <v>REDOVNA DJELATNOST SVEUČILIŠTA U OSIJEKU</v>
      </c>
      <c r="I3" s="91" t="str">
        <f>IFERROR(VLOOKUP(G3,$AB$6:$AF$327,3,FALSE),"")</f>
        <v>0942</v>
      </c>
      <c r="J3" s="128">
        <v>6413376</v>
      </c>
      <c r="K3" s="128">
        <v>6443852</v>
      </c>
      <c r="L3" s="128">
        <v>6474471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3114</v>
      </c>
      <c r="F4" s="91" t="str">
        <f t="shared" ref="F4:F67" si="2">IFERROR(VLOOKUP(E4,$V$5:$X$129,2,FALSE),"")</f>
        <v>Plaće za posebne uvjete rada</v>
      </c>
      <c r="G4" s="129" t="s">
        <v>61</v>
      </c>
      <c r="H4" s="91" t="str">
        <f t="shared" ref="H4:H67" si="3">IFERROR(VLOOKUP(G4,$AB$6:$AC$327,2,FALSE),"")</f>
        <v>REDOVNA DJELATNOST SVEUČILIŠTA U OSIJEKU</v>
      </c>
      <c r="I4" s="91" t="str">
        <f t="shared" ref="I4:I67" si="4">IFERROR(VLOOKUP(G4,$AB$6:$AF$327,3,FALSE),"")</f>
        <v>0942</v>
      </c>
      <c r="J4" s="128">
        <v>25915</v>
      </c>
      <c r="K4" s="128">
        <v>26038</v>
      </c>
      <c r="L4" s="128">
        <v>26162</v>
      </c>
      <c r="M4" s="95"/>
      <c r="O4" s="86" t="str">
        <f t="shared" ref="O4:O67" si="5">LEFT(E4,3)</f>
        <v>311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3121</v>
      </c>
      <c r="F5" s="91" t="str">
        <f t="shared" si="2"/>
        <v>Ostali rashodi za zaposlene</v>
      </c>
      <c r="G5" s="129" t="s">
        <v>61</v>
      </c>
      <c r="H5" s="91" t="str">
        <f t="shared" si="3"/>
        <v>REDOVNA DJELATNOST SVEUČILIŠTA U OSIJEKU</v>
      </c>
      <c r="I5" s="91" t="str">
        <f t="shared" si="4"/>
        <v>0942</v>
      </c>
      <c r="J5" s="128">
        <v>170484</v>
      </c>
      <c r="K5" s="128">
        <v>171294</v>
      </c>
      <c r="L5" s="128">
        <v>172108</v>
      </c>
      <c r="M5" s="95"/>
      <c r="O5" s="86" t="str">
        <f t="shared" si="5"/>
        <v>312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3132</v>
      </c>
      <c r="F6" s="91" t="str">
        <f t="shared" si="2"/>
        <v>Doprinosi za obvezno zdravstveno osiguranje</v>
      </c>
      <c r="G6" s="129" t="s">
        <v>61</v>
      </c>
      <c r="H6" s="91" t="str">
        <f t="shared" si="3"/>
        <v>REDOVNA DJELATNOST SVEUČILIŠTA U OSIJEKU</v>
      </c>
      <c r="I6" s="91" t="str">
        <f t="shared" si="4"/>
        <v>0942</v>
      </c>
      <c r="J6" s="128">
        <v>1045288</v>
      </c>
      <c r="K6" s="128">
        <v>1050255</v>
      </c>
      <c r="L6" s="128">
        <v>1055245</v>
      </c>
      <c r="M6" s="95"/>
      <c r="O6" s="86" t="str">
        <f t="shared" si="5"/>
        <v>313</v>
      </c>
      <c r="P6" s="86" t="str">
        <f t="shared" si="6"/>
        <v>31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11</v>
      </c>
      <c r="D7" s="91" t="str">
        <f t="shared" si="1"/>
        <v>Opći prihodi i primici</v>
      </c>
      <c r="E7" s="96">
        <v>3212</v>
      </c>
      <c r="F7" s="91" t="str">
        <f t="shared" si="2"/>
        <v>Naknade za prijevoz, za rad na terenu i odvojeni život</v>
      </c>
      <c r="G7" s="129" t="s">
        <v>61</v>
      </c>
      <c r="H7" s="91" t="str">
        <f t="shared" si="3"/>
        <v>REDOVNA DJELATNOST SVEUČILIŠTA U OSIJEKU</v>
      </c>
      <c r="I7" s="91" t="str">
        <f t="shared" si="4"/>
        <v>0942</v>
      </c>
      <c r="J7" s="128">
        <v>171923</v>
      </c>
      <c r="K7" s="128">
        <v>172740</v>
      </c>
      <c r="L7" s="128">
        <v>173561</v>
      </c>
      <c r="M7" s="95"/>
      <c r="O7" s="86" t="str">
        <f t="shared" si="5"/>
        <v>321</v>
      </c>
      <c r="P7" s="86" t="str">
        <f t="shared" si="6"/>
        <v>32</v>
      </c>
      <c r="Q7" s="86" t="str">
        <f t="shared" si="7"/>
        <v>11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3236</v>
      </c>
      <c r="F8" s="91" t="str">
        <f t="shared" si="2"/>
        <v>Zdravstvene i veterinarske usluge</v>
      </c>
      <c r="G8" s="129" t="s">
        <v>61</v>
      </c>
      <c r="H8" s="91" t="str">
        <f t="shared" si="3"/>
        <v>REDOVNA DJELATNOST SVEUČILIŠTA U OSIJEKU</v>
      </c>
      <c r="I8" s="91" t="str">
        <f t="shared" si="4"/>
        <v>0942</v>
      </c>
      <c r="J8" s="128">
        <v>7326</v>
      </c>
      <c r="K8" s="128">
        <v>7361</v>
      </c>
      <c r="L8" s="128">
        <v>7396</v>
      </c>
      <c r="M8" s="95"/>
      <c r="O8" s="86" t="str">
        <f t="shared" si="5"/>
        <v>323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11</v>
      </c>
      <c r="D9" s="91" t="str">
        <f t="shared" si="1"/>
        <v>Opći prihodi i primici</v>
      </c>
      <c r="E9" s="96">
        <v>3295</v>
      </c>
      <c r="F9" s="91" t="str">
        <f t="shared" si="2"/>
        <v>Pristojbe i naknade</v>
      </c>
      <c r="G9" s="129" t="s">
        <v>61</v>
      </c>
      <c r="H9" s="91" t="str">
        <f t="shared" si="3"/>
        <v>REDOVNA DJELATNOST SVEUČILIŠTA U OSIJEKU</v>
      </c>
      <c r="I9" s="91" t="str">
        <f t="shared" si="4"/>
        <v>0942</v>
      </c>
      <c r="J9" s="128">
        <v>7674</v>
      </c>
      <c r="K9" s="128">
        <v>7710</v>
      </c>
      <c r="L9" s="128">
        <v>7747</v>
      </c>
      <c r="M9" s="95"/>
      <c r="O9" s="86" t="str">
        <f t="shared" si="5"/>
        <v>329</v>
      </c>
      <c r="P9" s="86" t="str">
        <f t="shared" si="6"/>
        <v>32</v>
      </c>
      <c r="Q9" s="86" t="str">
        <f t="shared" si="7"/>
        <v>11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11</v>
      </c>
      <c r="D10" s="91" t="str">
        <f t="shared" si="1"/>
        <v>Opći prihodi i primici</v>
      </c>
      <c r="E10" s="96">
        <v>3111</v>
      </c>
      <c r="F10" s="91" t="str">
        <f t="shared" si="2"/>
        <v>Plaće za redovan rad</v>
      </c>
      <c r="G10" s="129" t="s">
        <v>1878</v>
      </c>
      <c r="H10" s="91" t="str">
        <f t="shared" si="3"/>
        <v>PRAVOMOĆNE SUDSKE PRESUDE</v>
      </c>
      <c r="I10" s="91" t="str">
        <f t="shared" si="4"/>
        <v>0942</v>
      </c>
      <c r="J10" s="128">
        <v>37811</v>
      </c>
      <c r="K10" s="128">
        <v>37811</v>
      </c>
      <c r="L10" s="128">
        <v>37811</v>
      </c>
      <c r="M10" s="95"/>
      <c r="O10" s="86" t="str">
        <f t="shared" si="5"/>
        <v>311</v>
      </c>
      <c r="P10" s="86" t="str">
        <f t="shared" si="6"/>
        <v>31</v>
      </c>
      <c r="Q10" s="86" t="str">
        <f t="shared" si="7"/>
        <v>11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08006</v>
      </c>
      <c r="B11" s="90" t="str">
        <f>IF(C11="","",VLOOKUP('OPĆI DIO'!$C$3,'OPĆI DIO'!$L$6:$U$138,9,FALSE))</f>
        <v>Sveučilišta i veleučilišta u Republici Hrvatskoj</v>
      </c>
      <c r="C11" s="96">
        <v>11</v>
      </c>
      <c r="D11" s="91" t="str">
        <f t="shared" si="1"/>
        <v>Opći prihodi i primici</v>
      </c>
      <c r="E11" s="96">
        <v>3211</v>
      </c>
      <c r="F11" s="91" t="str">
        <f t="shared" si="2"/>
        <v>Službena putovanja</v>
      </c>
      <c r="G11" s="129" t="s">
        <v>673</v>
      </c>
      <c r="H11" s="91" t="str">
        <f t="shared" si="3"/>
        <v>PROGRAMSKO FINANCIRANJE JAVNIH VISOKIH UČILIŠTA</v>
      </c>
      <c r="I11" s="91" t="str">
        <f t="shared" si="4"/>
        <v>0942</v>
      </c>
      <c r="J11" s="128">
        <v>47220</v>
      </c>
      <c r="K11" s="128">
        <v>47220</v>
      </c>
      <c r="L11" s="128">
        <v>47220</v>
      </c>
      <c r="M11" s="95"/>
      <c r="O11" s="86" t="str">
        <f t="shared" si="5"/>
        <v>321</v>
      </c>
      <c r="P11" s="86" t="str">
        <f t="shared" si="6"/>
        <v>32</v>
      </c>
      <c r="Q11" s="86" t="str">
        <f t="shared" si="7"/>
        <v>11</v>
      </c>
      <c r="R11" s="86" t="str">
        <f t="shared" si="8"/>
        <v>94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11</v>
      </c>
      <c r="D12" s="91" t="str">
        <f t="shared" si="1"/>
        <v>Opći prihodi i primici</v>
      </c>
      <c r="E12" s="96">
        <v>3213</v>
      </c>
      <c r="F12" s="91" t="str">
        <f t="shared" si="2"/>
        <v>Stručno usavršavanje zaposlenika</v>
      </c>
      <c r="G12" s="129" t="s">
        <v>673</v>
      </c>
      <c r="H12" s="91" t="str">
        <f t="shared" si="3"/>
        <v>PROGRAMSKO FINANCIRANJE JAVNIH VISOKIH UČILIŠTA</v>
      </c>
      <c r="I12" s="91" t="str">
        <f t="shared" si="4"/>
        <v>0942</v>
      </c>
      <c r="J12" s="128">
        <v>17595</v>
      </c>
      <c r="K12" s="128">
        <v>17595</v>
      </c>
      <c r="L12" s="128">
        <v>17595</v>
      </c>
      <c r="M12" s="95"/>
      <c r="O12" s="86" t="str">
        <f t="shared" si="5"/>
        <v>321</v>
      </c>
      <c r="P12" s="86" t="str">
        <f t="shared" si="6"/>
        <v>32</v>
      </c>
      <c r="Q12" s="86" t="str">
        <f t="shared" si="7"/>
        <v>11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11</v>
      </c>
      <c r="D13" s="91" t="str">
        <f t="shared" si="1"/>
        <v>Opći prihodi i primici</v>
      </c>
      <c r="E13" s="96">
        <v>3221</v>
      </c>
      <c r="F13" s="91" t="str">
        <f t="shared" si="2"/>
        <v>Uredski materijal i ostali materijalni rashodi</v>
      </c>
      <c r="G13" s="129" t="s">
        <v>673</v>
      </c>
      <c r="H13" s="91" t="str">
        <f t="shared" si="3"/>
        <v>PROGRAMSKO FINANCIRANJE JAVNIH VISOKIH UČILIŠTA</v>
      </c>
      <c r="I13" s="91" t="str">
        <f t="shared" si="4"/>
        <v>0942</v>
      </c>
      <c r="J13" s="128">
        <v>9965</v>
      </c>
      <c r="K13" s="128">
        <v>9965</v>
      </c>
      <c r="L13" s="128">
        <v>9965</v>
      </c>
      <c r="M13" s="95"/>
      <c r="O13" s="86" t="str">
        <f t="shared" si="5"/>
        <v>322</v>
      </c>
      <c r="P13" s="86" t="str">
        <f t="shared" si="6"/>
        <v>32</v>
      </c>
      <c r="Q13" s="86" t="str">
        <f t="shared" si="7"/>
        <v>11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11</v>
      </c>
      <c r="D14" s="91" t="str">
        <f t="shared" si="1"/>
        <v>Opći prihodi i primici</v>
      </c>
      <c r="E14" s="96">
        <v>3222</v>
      </c>
      <c r="F14" s="91" t="str">
        <f t="shared" si="2"/>
        <v>Materijal i sirovine</v>
      </c>
      <c r="G14" s="129" t="s">
        <v>673</v>
      </c>
      <c r="H14" s="91" t="str">
        <f t="shared" si="3"/>
        <v>PROGRAMSKO FINANCIRANJE JAVNIH VISOKIH UČILIŠTA</v>
      </c>
      <c r="I14" s="91" t="str">
        <f t="shared" si="4"/>
        <v>0942</v>
      </c>
      <c r="J14" s="128">
        <v>33979</v>
      </c>
      <c r="K14" s="128">
        <v>33979</v>
      </c>
      <c r="L14" s="128">
        <v>33979</v>
      </c>
      <c r="M14" s="95"/>
      <c r="O14" s="86" t="str">
        <f t="shared" si="5"/>
        <v>322</v>
      </c>
      <c r="P14" s="86" t="str">
        <f t="shared" si="6"/>
        <v>32</v>
      </c>
      <c r="Q14" s="86" t="str">
        <f t="shared" si="7"/>
        <v>11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11</v>
      </c>
      <c r="D15" s="91" t="str">
        <f t="shared" si="1"/>
        <v>Opći prihodi i primici</v>
      </c>
      <c r="E15" s="96">
        <v>3223</v>
      </c>
      <c r="F15" s="91" t="str">
        <f t="shared" si="2"/>
        <v>Energija</v>
      </c>
      <c r="G15" s="129" t="s">
        <v>673</v>
      </c>
      <c r="H15" s="91" t="str">
        <f t="shared" si="3"/>
        <v>PROGRAMSKO FINANCIRANJE JAVNIH VISOKIH UČILIŠTA</v>
      </c>
      <c r="I15" s="91" t="str">
        <f t="shared" si="4"/>
        <v>0942</v>
      </c>
      <c r="J15" s="128">
        <v>86400</v>
      </c>
      <c r="K15" s="128">
        <v>86400</v>
      </c>
      <c r="L15" s="128">
        <v>86400</v>
      </c>
      <c r="M15" s="95"/>
      <c r="O15" s="86" t="str">
        <f t="shared" si="5"/>
        <v>322</v>
      </c>
      <c r="P15" s="86" t="str">
        <f t="shared" si="6"/>
        <v>32</v>
      </c>
      <c r="Q15" s="86" t="str">
        <f t="shared" si="7"/>
        <v>11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11</v>
      </c>
      <c r="D16" s="91" t="str">
        <f t="shared" si="1"/>
        <v>Opći prihodi i primici</v>
      </c>
      <c r="E16" s="96">
        <v>3224</v>
      </c>
      <c r="F16" s="91" t="str">
        <f t="shared" si="2"/>
        <v>Materijal i dijelovi za tekuće i investicijsko održavanje</v>
      </c>
      <c r="G16" s="129" t="s">
        <v>673</v>
      </c>
      <c r="H16" s="91" t="str">
        <f t="shared" si="3"/>
        <v>PROGRAMSKO FINANCIRANJE JAVNIH VISOKIH UČILIŠTA</v>
      </c>
      <c r="I16" s="91" t="str">
        <f t="shared" si="4"/>
        <v>0942</v>
      </c>
      <c r="J16" s="128">
        <v>33979</v>
      </c>
      <c r="K16" s="128">
        <v>33979</v>
      </c>
      <c r="L16" s="128">
        <v>33979</v>
      </c>
      <c r="M16" s="95"/>
      <c r="O16" s="86" t="str">
        <f t="shared" si="5"/>
        <v>322</v>
      </c>
      <c r="P16" s="86" t="str">
        <f t="shared" si="6"/>
        <v>32</v>
      </c>
      <c r="Q16" s="86" t="str">
        <f t="shared" si="7"/>
        <v>11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11</v>
      </c>
      <c r="D17" s="91" t="str">
        <f t="shared" si="1"/>
        <v>Opći prihodi i primici</v>
      </c>
      <c r="E17" s="96">
        <v>3227</v>
      </c>
      <c r="F17" s="91" t="str">
        <f t="shared" si="2"/>
        <v>Službena, radna i zaštitna odjeća i obuća</v>
      </c>
      <c r="G17" s="129" t="s">
        <v>673</v>
      </c>
      <c r="H17" s="91" t="str">
        <f t="shared" si="3"/>
        <v>PROGRAMSKO FINANCIRANJE JAVNIH VISOKIH UČILIŠTA</v>
      </c>
      <c r="I17" s="91" t="str">
        <f t="shared" si="4"/>
        <v>0942</v>
      </c>
      <c r="J17" s="128">
        <v>1158</v>
      </c>
      <c r="K17" s="128">
        <v>1158</v>
      </c>
      <c r="L17" s="128">
        <v>1158</v>
      </c>
      <c r="M17" s="95"/>
      <c r="O17" s="86" t="str">
        <f t="shared" si="5"/>
        <v>322</v>
      </c>
      <c r="P17" s="86" t="str">
        <f t="shared" si="6"/>
        <v>32</v>
      </c>
      <c r="Q17" s="86" t="str">
        <f t="shared" si="7"/>
        <v>11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11</v>
      </c>
      <c r="D18" s="91" t="str">
        <f t="shared" si="1"/>
        <v>Opći prihodi i primici</v>
      </c>
      <c r="E18" s="96">
        <v>3231</v>
      </c>
      <c r="F18" s="91" t="str">
        <f t="shared" si="2"/>
        <v>Usluge telefona, pošte i prijevoza</v>
      </c>
      <c r="G18" s="129" t="s">
        <v>673</v>
      </c>
      <c r="H18" s="91" t="str">
        <f t="shared" si="3"/>
        <v>PROGRAMSKO FINANCIRANJE JAVNIH VISOKIH UČILIŠTA</v>
      </c>
      <c r="I18" s="91" t="str">
        <f t="shared" si="4"/>
        <v>0942</v>
      </c>
      <c r="J18" s="128">
        <v>9040</v>
      </c>
      <c r="K18" s="128">
        <v>9040</v>
      </c>
      <c r="L18" s="128">
        <v>9040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11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11</v>
      </c>
      <c r="D19" s="91" t="str">
        <f t="shared" si="1"/>
        <v>Opći prihodi i primici</v>
      </c>
      <c r="E19" s="96">
        <v>3232</v>
      </c>
      <c r="F19" s="91" t="str">
        <f t="shared" si="2"/>
        <v>Usluge tekućeg i investicijskog održavanja</v>
      </c>
      <c r="G19" s="129" t="s">
        <v>673</v>
      </c>
      <c r="H19" s="91" t="str">
        <f t="shared" si="3"/>
        <v>PROGRAMSKO FINANCIRANJE JAVNIH VISOKIH UČILIŠTA</v>
      </c>
      <c r="I19" s="91" t="str">
        <f t="shared" si="4"/>
        <v>0942</v>
      </c>
      <c r="J19" s="128">
        <v>31809</v>
      </c>
      <c r="K19" s="128">
        <v>31809</v>
      </c>
      <c r="L19" s="128">
        <v>31809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11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11</v>
      </c>
      <c r="D20" s="91" t="str">
        <f t="shared" si="1"/>
        <v>Opći prihodi i primici</v>
      </c>
      <c r="E20" s="96">
        <v>3233</v>
      </c>
      <c r="F20" s="91" t="str">
        <f t="shared" si="2"/>
        <v>Usluge promidžbe i informiranja</v>
      </c>
      <c r="G20" s="129" t="s">
        <v>673</v>
      </c>
      <c r="H20" s="91" t="str">
        <f t="shared" si="3"/>
        <v>PROGRAMSKO FINANCIRANJE JAVNIH VISOKIH UČILIŠTA</v>
      </c>
      <c r="I20" s="91" t="str">
        <f t="shared" si="4"/>
        <v>0942</v>
      </c>
      <c r="J20" s="128">
        <v>6846</v>
      </c>
      <c r="K20" s="128">
        <v>6846</v>
      </c>
      <c r="L20" s="128">
        <v>6846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11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11</v>
      </c>
      <c r="D21" s="91" t="str">
        <f t="shared" si="1"/>
        <v>Opći prihodi i primici</v>
      </c>
      <c r="E21" s="96">
        <v>3234</v>
      </c>
      <c r="F21" s="91" t="str">
        <f t="shared" si="2"/>
        <v>Komunalne usluge</v>
      </c>
      <c r="G21" s="129" t="s">
        <v>673</v>
      </c>
      <c r="H21" s="91" t="str">
        <f t="shared" si="3"/>
        <v>PROGRAMSKO FINANCIRANJE JAVNIH VISOKIH UČILIŠTA</v>
      </c>
      <c r="I21" s="91" t="str">
        <f t="shared" si="4"/>
        <v>0942</v>
      </c>
      <c r="J21" s="128">
        <v>37456</v>
      </c>
      <c r="K21" s="128">
        <v>37456</v>
      </c>
      <c r="L21" s="128">
        <v>37456</v>
      </c>
      <c r="M21" s="95"/>
      <c r="O21" s="86" t="str">
        <f t="shared" si="5"/>
        <v>323</v>
      </c>
      <c r="P21" s="86" t="str">
        <f t="shared" si="6"/>
        <v>32</v>
      </c>
      <c r="Q21" s="86" t="str">
        <f t="shared" si="7"/>
        <v>11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11</v>
      </c>
      <c r="D22" s="91" t="str">
        <f t="shared" si="1"/>
        <v>Opći prihodi i primici</v>
      </c>
      <c r="E22" s="96">
        <v>3235</v>
      </c>
      <c r="F22" s="91" t="str">
        <f t="shared" si="2"/>
        <v>Zakupnine i najamnine</v>
      </c>
      <c r="G22" s="129" t="s">
        <v>673</v>
      </c>
      <c r="H22" s="91" t="str">
        <f t="shared" si="3"/>
        <v>PROGRAMSKO FINANCIRANJE JAVNIH VISOKIH UČILIŠTA</v>
      </c>
      <c r="I22" s="91" t="str">
        <f t="shared" si="4"/>
        <v>0942</v>
      </c>
      <c r="J22" s="128">
        <v>1369</v>
      </c>
      <c r="K22" s="128">
        <v>1369</v>
      </c>
      <c r="L22" s="128">
        <v>1369</v>
      </c>
      <c r="M22" s="95"/>
      <c r="O22" s="86" t="str">
        <f t="shared" si="5"/>
        <v>323</v>
      </c>
      <c r="P22" s="86" t="str">
        <f t="shared" si="6"/>
        <v>32</v>
      </c>
      <c r="Q22" s="86" t="str">
        <f t="shared" si="7"/>
        <v>11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11</v>
      </c>
      <c r="D23" s="91" t="str">
        <f t="shared" si="1"/>
        <v>Opći prihodi i primici</v>
      </c>
      <c r="E23" s="96">
        <v>3237</v>
      </c>
      <c r="F23" s="91" t="str">
        <f t="shared" si="2"/>
        <v>Intelektualne i osobne usluge</v>
      </c>
      <c r="G23" s="129" t="s">
        <v>673</v>
      </c>
      <c r="H23" s="91" t="str">
        <f t="shared" si="3"/>
        <v>PROGRAMSKO FINANCIRANJE JAVNIH VISOKIH UČILIŠTA</v>
      </c>
      <c r="I23" s="91" t="str">
        <f t="shared" si="4"/>
        <v>0942</v>
      </c>
      <c r="J23" s="128">
        <v>23070</v>
      </c>
      <c r="K23" s="128">
        <v>23070</v>
      </c>
      <c r="L23" s="128">
        <v>23070</v>
      </c>
      <c r="M23" s="95"/>
      <c r="O23" s="86" t="str">
        <f t="shared" si="5"/>
        <v>323</v>
      </c>
      <c r="P23" s="86" t="str">
        <f t="shared" si="6"/>
        <v>32</v>
      </c>
      <c r="Q23" s="86" t="str">
        <f t="shared" si="7"/>
        <v>11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11</v>
      </c>
      <c r="D24" s="91" t="str">
        <f t="shared" si="1"/>
        <v>Opći prihodi i primici</v>
      </c>
      <c r="E24" s="96">
        <v>3238</v>
      </c>
      <c r="F24" s="91" t="str">
        <f t="shared" si="2"/>
        <v>Računalne usluge</v>
      </c>
      <c r="G24" s="129" t="s">
        <v>673</v>
      </c>
      <c r="H24" s="91" t="str">
        <f t="shared" si="3"/>
        <v>PROGRAMSKO FINANCIRANJE JAVNIH VISOKIH UČILIŠTA</v>
      </c>
      <c r="I24" s="91" t="str">
        <f t="shared" si="4"/>
        <v>0942</v>
      </c>
      <c r="J24" s="128">
        <v>6319</v>
      </c>
      <c r="K24" s="128">
        <v>6319</v>
      </c>
      <c r="L24" s="128">
        <v>6319</v>
      </c>
      <c r="M24" s="95"/>
      <c r="O24" s="86" t="str">
        <f t="shared" si="5"/>
        <v>323</v>
      </c>
      <c r="P24" s="86" t="str">
        <f t="shared" si="6"/>
        <v>32</v>
      </c>
      <c r="Q24" s="86" t="str">
        <f t="shared" si="7"/>
        <v>11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11</v>
      </c>
      <c r="D25" s="91" t="str">
        <f t="shared" si="1"/>
        <v>Opći prihodi i primici</v>
      </c>
      <c r="E25" s="96">
        <v>3239</v>
      </c>
      <c r="F25" s="91" t="str">
        <f t="shared" si="2"/>
        <v>Ostale usluge</v>
      </c>
      <c r="G25" s="129" t="s">
        <v>673</v>
      </c>
      <c r="H25" s="91" t="str">
        <f t="shared" si="3"/>
        <v>PROGRAMSKO FINANCIRANJE JAVNIH VISOKIH UČILIŠTA</v>
      </c>
      <c r="I25" s="91" t="str">
        <f t="shared" si="4"/>
        <v>0942</v>
      </c>
      <c r="J25" s="128">
        <v>37643</v>
      </c>
      <c r="K25" s="128">
        <v>37643</v>
      </c>
      <c r="L25" s="128">
        <v>37643</v>
      </c>
      <c r="M25" s="95"/>
      <c r="O25" s="86" t="str">
        <f t="shared" si="5"/>
        <v>323</v>
      </c>
      <c r="P25" s="86" t="str">
        <f t="shared" si="6"/>
        <v>32</v>
      </c>
      <c r="Q25" s="86" t="str">
        <f t="shared" si="7"/>
        <v>11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11</v>
      </c>
      <c r="D26" s="91" t="str">
        <f t="shared" si="1"/>
        <v>Opći prihodi i primici</v>
      </c>
      <c r="E26" s="96">
        <v>3241</v>
      </c>
      <c r="F26" s="91" t="str">
        <f t="shared" si="2"/>
        <v>Naknade troškova osobama izvan radnog odnosa</v>
      </c>
      <c r="G26" s="129" t="s">
        <v>673</v>
      </c>
      <c r="H26" s="91" t="str">
        <f t="shared" si="3"/>
        <v>PROGRAMSKO FINANCIRANJE JAVNIH VISOKIH UČILIŠTA</v>
      </c>
      <c r="I26" s="91" t="str">
        <f t="shared" si="4"/>
        <v>0942</v>
      </c>
      <c r="J26" s="128">
        <v>211</v>
      </c>
      <c r="K26" s="128">
        <v>211</v>
      </c>
      <c r="L26" s="128">
        <v>211</v>
      </c>
      <c r="M26" s="95"/>
      <c r="O26" s="86" t="str">
        <f t="shared" si="5"/>
        <v>324</v>
      </c>
      <c r="P26" s="86" t="str">
        <f t="shared" si="6"/>
        <v>32</v>
      </c>
      <c r="Q26" s="86" t="str">
        <f t="shared" si="7"/>
        <v>11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11</v>
      </c>
      <c r="D27" s="91" t="str">
        <f t="shared" si="1"/>
        <v>Opći prihodi i primici</v>
      </c>
      <c r="E27" s="96">
        <v>3292</v>
      </c>
      <c r="F27" s="91" t="str">
        <f t="shared" si="2"/>
        <v>Premije osiguranja</v>
      </c>
      <c r="G27" s="129" t="s">
        <v>673</v>
      </c>
      <c r="H27" s="91" t="str">
        <f t="shared" si="3"/>
        <v>PROGRAMSKO FINANCIRANJE JAVNIH VISOKIH UČILIŠTA</v>
      </c>
      <c r="I27" s="91" t="str">
        <f t="shared" si="4"/>
        <v>0942</v>
      </c>
      <c r="J27" s="128">
        <v>948</v>
      </c>
      <c r="K27" s="128">
        <v>948</v>
      </c>
      <c r="L27" s="128">
        <v>948</v>
      </c>
      <c r="M27" s="95"/>
      <c r="O27" s="86" t="str">
        <f t="shared" si="5"/>
        <v>329</v>
      </c>
      <c r="P27" s="86" t="str">
        <f t="shared" si="6"/>
        <v>32</v>
      </c>
      <c r="Q27" s="86" t="str">
        <f t="shared" si="7"/>
        <v>11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11</v>
      </c>
      <c r="D28" s="91" t="str">
        <f t="shared" si="1"/>
        <v>Opći prihodi i primici</v>
      </c>
      <c r="E28" s="96">
        <v>3293</v>
      </c>
      <c r="F28" s="91" t="str">
        <f t="shared" si="2"/>
        <v>Reprezentacija</v>
      </c>
      <c r="G28" s="129" t="s">
        <v>673</v>
      </c>
      <c r="H28" s="91" t="str">
        <f t="shared" si="3"/>
        <v>PROGRAMSKO FINANCIRANJE JAVNIH VISOKIH UČILIŠTA</v>
      </c>
      <c r="I28" s="91" t="str">
        <f t="shared" si="4"/>
        <v>0942</v>
      </c>
      <c r="J28" s="128">
        <v>1053</v>
      </c>
      <c r="K28" s="128">
        <v>1053</v>
      </c>
      <c r="L28" s="128">
        <v>1053</v>
      </c>
      <c r="M28" s="95"/>
      <c r="O28" s="86" t="str">
        <f t="shared" si="5"/>
        <v>329</v>
      </c>
      <c r="P28" s="86" t="str">
        <f t="shared" si="6"/>
        <v>32</v>
      </c>
      <c r="Q28" s="86" t="str">
        <f t="shared" si="7"/>
        <v>11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11</v>
      </c>
      <c r="D29" s="91" t="str">
        <f t="shared" si="1"/>
        <v>Opći prihodi i primici</v>
      </c>
      <c r="E29" s="96">
        <v>3294</v>
      </c>
      <c r="F29" s="91" t="str">
        <f t="shared" si="2"/>
        <v>Članarine i norme</v>
      </c>
      <c r="G29" s="129" t="s">
        <v>673</v>
      </c>
      <c r="H29" s="91" t="str">
        <f t="shared" si="3"/>
        <v>PROGRAMSKO FINANCIRANJE JAVNIH VISOKIH UČILIŠTA</v>
      </c>
      <c r="I29" s="91" t="str">
        <f t="shared" si="4"/>
        <v>0942</v>
      </c>
      <c r="J29" s="128">
        <v>5564</v>
      </c>
      <c r="K29" s="128">
        <v>5564</v>
      </c>
      <c r="L29" s="128">
        <v>5564</v>
      </c>
      <c r="M29" s="95"/>
      <c r="O29" s="86" t="str">
        <f t="shared" si="5"/>
        <v>329</v>
      </c>
      <c r="P29" s="86" t="str">
        <f t="shared" si="6"/>
        <v>32</v>
      </c>
      <c r="Q29" s="86" t="str">
        <f t="shared" si="7"/>
        <v>11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11</v>
      </c>
      <c r="D30" s="91" t="str">
        <f t="shared" si="1"/>
        <v>Opći prihodi i primici</v>
      </c>
      <c r="E30" s="96">
        <v>3295</v>
      </c>
      <c r="F30" s="91" t="str">
        <f t="shared" si="2"/>
        <v>Pristojbe i naknade</v>
      </c>
      <c r="G30" s="129" t="s">
        <v>673</v>
      </c>
      <c r="H30" s="91" t="str">
        <f t="shared" si="3"/>
        <v>PROGRAMSKO FINANCIRANJE JAVNIH VISOKIH UČILIŠTA</v>
      </c>
      <c r="I30" s="91" t="str">
        <f t="shared" si="4"/>
        <v>0942</v>
      </c>
      <c r="J30" s="128">
        <v>5266</v>
      </c>
      <c r="K30" s="128">
        <v>5266</v>
      </c>
      <c r="L30" s="128">
        <v>5266</v>
      </c>
      <c r="M30" s="95"/>
      <c r="O30" s="86" t="str">
        <f t="shared" si="5"/>
        <v>329</v>
      </c>
      <c r="P30" s="86" t="str">
        <f t="shared" si="6"/>
        <v>32</v>
      </c>
      <c r="Q30" s="86" t="str">
        <f t="shared" si="7"/>
        <v>11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11</v>
      </c>
      <c r="D31" s="91" t="str">
        <f t="shared" si="1"/>
        <v>Opći prihodi i primici</v>
      </c>
      <c r="E31" s="96">
        <v>3299</v>
      </c>
      <c r="F31" s="91" t="str">
        <f t="shared" si="2"/>
        <v>Ostali nespomenuti rashodi poslovanja</v>
      </c>
      <c r="G31" s="129" t="s">
        <v>673</v>
      </c>
      <c r="H31" s="91" t="str">
        <f t="shared" si="3"/>
        <v>PROGRAMSKO FINANCIRANJE JAVNIH VISOKIH UČILIŠTA</v>
      </c>
      <c r="I31" s="91" t="str">
        <f t="shared" si="4"/>
        <v>0942</v>
      </c>
      <c r="J31" s="128">
        <v>17129</v>
      </c>
      <c r="K31" s="128">
        <v>17129</v>
      </c>
      <c r="L31" s="128">
        <v>17129</v>
      </c>
      <c r="M31" s="95"/>
      <c r="O31" s="86" t="str">
        <f t="shared" si="5"/>
        <v>329</v>
      </c>
      <c r="P31" s="86" t="str">
        <f t="shared" si="6"/>
        <v>32</v>
      </c>
      <c r="Q31" s="86" t="str">
        <f t="shared" si="7"/>
        <v>11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11</v>
      </c>
      <c r="D32" s="91" t="str">
        <f t="shared" si="1"/>
        <v>Opći prihodi i primici</v>
      </c>
      <c r="E32" s="96">
        <v>3431</v>
      </c>
      <c r="F32" s="91" t="str">
        <f t="shared" si="2"/>
        <v>Bankarske usluge i usluge platnog prometa</v>
      </c>
      <c r="G32" s="129" t="s">
        <v>673</v>
      </c>
      <c r="H32" s="91" t="str">
        <f t="shared" si="3"/>
        <v>PROGRAMSKO FINANCIRANJE JAVNIH VISOKIH UČILIŠTA</v>
      </c>
      <c r="I32" s="91" t="str">
        <f t="shared" si="4"/>
        <v>0942</v>
      </c>
      <c r="J32" s="128">
        <v>6740</v>
      </c>
      <c r="K32" s="128">
        <v>6740</v>
      </c>
      <c r="L32" s="128">
        <v>6740</v>
      </c>
      <c r="M32" s="95"/>
      <c r="O32" s="86" t="str">
        <f t="shared" si="5"/>
        <v>343</v>
      </c>
      <c r="P32" s="86" t="str">
        <f t="shared" si="6"/>
        <v>34</v>
      </c>
      <c r="Q32" s="86" t="str">
        <f t="shared" si="7"/>
        <v>11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11</v>
      </c>
      <c r="D33" s="91" t="str">
        <f t="shared" si="1"/>
        <v>Opći prihodi i primici</v>
      </c>
      <c r="E33" s="96">
        <v>3721</v>
      </c>
      <c r="F33" s="91" t="str">
        <f t="shared" si="2"/>
        <v>Naknade građanima i kućanstvima u novcu</v>
      </c>
      <c r="G33" s="129" t="s">
        <v>673</v>
      </c>
      <c r="H33" s="91" t="str">
        <f t="shared" si="3"/>
        <v>PROGRAMSKO FINANCIRANJE JAVNIH VISOKIH UČILIŠTA</v>
      </c>
      <c r="I33" s="91" t="str">
        <f t="shared" si="4"/>
        <v>0942</v>
      </c>
      <c r="J33" s="128">
        <v>2528</v>
      </c>
      <c r="K33" s="128">
        <v>2528</v>
      </c>
      <c r="L33" s="128">
        <v>2528</v>
      </c>
      <c r="M33" s="95"/>
      <c r="O33" s="86" t="str">
        <f t="shared" si="5"/>
        <v>372</v>
      </c>
      <c r="P33" s="86" t="str">
        <f t="shared" si="6"/>
        <v>37</v>
      </c>
      <c r="Q33" s="86" t="str">
        <f t="shared" si="7"/>
        <v>11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11</v>
      </c>
      <c r="D34" s="91" t="str">
        <f t="shared" si="1"/>
        <v>Opći prihodi i primici</v>
      </c>
      <c r="E34" s="96">
        <v>4241</v>
      </c>
      <c r="F34" s="91" t="str">
        <f t="shared" si="2"/>
        <v>Knjige</v>
      </c>
      <c r="G34" s="129" t="s">
        <v>673</v>
      </c>
      <c r="H34" s="91" t="str">
        <f t="shared" si="3"/>
        <v>PROGRAMSKO FINANCIRANJE JAVNIH VISOKIH UČILIŠTA</v>
      </c>
      <c r="I34" s="91" t="str">
        <f t="shared" si="4"/>
        <v>0942</v>
      </c>
      <c r="J34" s="128">
        <v>5266</v>
      </c>
      <c r="K34" s="128">
        <v>5266</v>
      </c>
      <c r="L34" s="128">
        <v>5266</v>
      </c>
      <c r="M34" s="95"/>
      <c r="O34" s="86" t="str">
        <f t="shared" si="5"/>
        <v>424</v>
      </c>
      <c r="P34" s="86" t="str">
        <f t="shared" si="6"/>
        <v>42</v>
      </c>
      <c r="Q34" s="86" t="str">
        <f t="shared" si="7"/>
        <v>11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08006</v>
      </c>
      <c r="B35" s="90" t="str">
        <f>IF(C35="","",VLOOKUP('OPĆI DIO'!$C$3,'OPĆI DIO'!$L$6:$U$138,9,FALSE))</f>
        <v>Sveučilišta i veleučilišta u Republici Hrvatskoj</v>
      </c>
      <c r="C35" s="96">
        <v>31</v>
      </c>
      <c r="D35" s="91" t="str">
        <f t="shared" si="1"/>
        <v>Vlastiti prihodi</v>
      </c>
      <c r="E35" s="96">
        <v>3111</v>
      </c>
      <c r="F35" s="91" t="str">
        <f t="shared" si="2"/>
        <v>Plaće za redovan rad</v>
      </c>
      <c r="G35" s="129" t="s">
        <v>177</v>
      </c>
      <c r="H35" s="91" t="str">
        <f t="shared" si="3"/>
        <v>REDOVNA DJELATNOST SVEUČILIŠTA U OSIJEKU (IZ EVIDENCIJSKIH PRIHODA)</v>
      </c>
      <c r="I35" s="91" t="str">
        <f t="shared" si="4"/>
        <v>0942</v>
      </c>
      <c r="J35" s="128">
        <v>5574.3579534142937</v>
      </c>
      <c r="K35" s="128">
        <v>5972.5263786581718</v>
      </c>
      <c r="L35" s="128">
        <v>5972.5263786581718</v>
      </c>
      <c r="M35" s="95"/>
      <c r="O35" s="86" t="str">
        <f t="shared" si="5"/>
        <v>311</v>
      </c>
      <c r="P35" s="86" t="str">
        <f t="shared" si="6"/>
        <v>31</v>
      </c>
      <c r="Q35" s="86" t="str">
        <f t="shared" si="7"/>
        <v>31</v>
      </c>
      <c r="R35" s="86" t="str">
        <f t="shared" si="8"/>
        <v>94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31</v>
      </c>
      <c r="D36" s="91" t="str">
        <f t="shared" si="1"/>
        <v>Vlastiti prihodi</v>
      </c>
      <c r="E36" s="96">
        <v>3121</v>
      </c>
      <c r="F36" s="91" t="str">
        <f t="shared" si="2"/>
        <v>Ostali rashodi za zaposlene</v>
      </c>
      <c r="G36" s="129" t="s">
        <v>177</v>
      </c>
      <c r="H36" s="91" t="str">
        <f t="shared" si="3"/>
        <v>REDOVNA DJELATNOST SVEUČILIŠTA U OSIJEKU (IZ EVIDENCIJSKIH PRIHODA)</v>
      </c>
      <c r="I36" s="91" t="str">
        <f t="shared" si="4"/>
        <v>0942</v>
      </c>
      <c r="J36" s="128">
        <v>75121.109562678335</v>
      </c>
      <c r="K36" s="128">
        <v>69015.860375605538</v>
      </c>
      <c r="L36" s="128">
        <v>69015.860375605538</v>
      </c>
      <c r="M36" s="95"/>
      <c r="O36" s="86" t="str">
        <f t="shared" si="5"/>
        <v>312</v>
      </c>
      <c r="P36" s="86" t="str">
        <f t="shared" si="6"/>
        <v>31</v>
      </c>
      <c r="Q36" s="86" t="str">
        <f t="shared" si="7"/>
        <v>31</v>
      </c>
      <c r="R36" s="86" t="str">
        <f t="shared" si="8"/>
        <v>94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31</v>
      </c>
      <c r="D37" s="91" t="str">
        <f t="shared" si="1"/>
        <v>Vlastiti prihodi</v>
      </c>
      <c r="E37" s="96">
        <v>3132</v>
      </c>
      <c r="F37" s="91" t="str">
        <f t="shared" si="2"/>
        <v>Doprinosi za obvezno zdravstveno osiguranje</v>
      </c>
      <c r="G37" s="129" t="s">
        <v>177</v>
      </c>
      <c r="H37" s="91" t="str">
        <f t="shared" si="3"/>
        <v>REDOVNA DJELATNOST SVEUČILIŠTA U OSIJEKU (IZ EVIDENCIJSKIH PRIHODA)</v>
      </c>
      <c r="I37" s="91" t="str">
        <f t="shared" si="4"/>
        <v>0942</v>
      </c>
      <c r="J37" s="128">
        <v>6494.1270157276522</v>
      </c>
      <c r="K37" s="128">
        <v>6957.9932311367702</v>
      </c>
      <c r="L37" s="128">
        <v>6957.9932311367702</v>
      </c>
      <c r="M37" s="95"/>
      <c r="O37" s="86" t="str">
        <f t="shared" si="5"/>
        <v>313</v>
      </c>
      <c r="P37" s="86" t="str">
        <f t="shared" si="6"/>
        <v>31</v>
      </c>
      <c r="Q37" s="86" t="str">
        <f t="shared" si="7"/>
        <v>31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08006</v>
      </c>
      <c r="B38" s="90" t="str">
        <f>IF(C38="","",VLOOKUP('OPĆI DIO'!$C$3,'OPĆI DIO'!$L$6:$U$138,9,FALSE))</f>
        <v>Sveučilišta i veleučilišta u Republici Hrvatskoj</v>
      </c>
      <c r="C38" s="96">
        <v>31</v>
      </c>
      <c r="D38" s="91" t="str">
        <f t="shared" si="1"/>
        <v>Vlastiti prihodi</v>
      </c>
      <c r="E38" s="96">
        <v>3211</v>
      </c>
      <c r="F38" s="91" t="str">
        <f t="shared" si="2"/>
        <v>Službena putovanja</v>
      </c>
      <c r="G38" s="129" t="s">
        <v>177</v>
      </c>
      <c r="H38" s="91" t="str">
        <f t="shared" si="3"/>
        <v>REDOVNA DJELATNOST SVEUČILIŠTA U OSIJEKU (IZ EVIDENCIJSKIH PRIHODA)</v>
      </c>
      <c r="I38" s="91" t="str">
        <f t="shared" si="4"/>
        <v>0942</v>
      </c>
      <c r="J38" s="128">
        <v>87597.053553653197</v>
      </c>
      <c r="K38" s="128">
        <v>86269.825469506934</v>
      </c>
      <c r="L38" s="128">
        <v>86269.825469506934</v>
      </c>
      <c r="M38" s="95"/>
      <c r="O38" s="86" t="str">
        <f t="shared" si="5"/>
        <v>321</v>
      </c>
      <c r="P38" s="86" t="str">
        <f t="shared" si="6"/>
        <v>32</v>
      </c>
      <c r="Q38" s="86" t="str">
        <f t="shared" si="7"/>
        <v>31</v>
      </c>
      <c r="R38" s="86" t="str">
        <f t="shared" si="8"/>
        <v>94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31</v>
      </c>
      <c r="D39" s="91" t="str">
        <f t="shared" si="1"/>
        <v>Vlastiti prihodi</v>
      </c>
      <c r="E39" s="96">
        <v>3213</v>
      </c>
      <c r="F39" s="91" t="str">
        <f t="shared" si="2"/>
        <v>Stručno usavršavanje zaposlenika</v>
      </c>
      <c r="G39" s="129" t="s">
        <v>177</v>
      </c>
      <c r="H39" s="91" t="str">
        <f t="shared" si="3"/>
        <v>REDOVNA DJELATNOST SVEUČILIŠTA U OSIJEKU (IZ EVIDENCIJSKIH PRIHODA)</v>
      </c>
      <c r="I39" s="91" t="str">
        <f t="shared" si="4"/>
        <v>0942</v>
      </c>
      <c r="J39" s="128">
        <v>4247.1298692680339</v>
      </c>
      <c r="K39" s="128">
        <v>3981.6842524387812</v>
      </c>
      <c r="L39" s="128">
        <v>3981.6842524387812</v>
      </c>
      <c r="M39" s="95"/>
      <c r="O39" s="86" t="str">
        <f t="shared" si="5"/>
        <v>321</v>
      </c>
      <c r="P39" s="86" t="str">
        <f t="shared" si="6"/>
        <v>32</v>
      </c>
      <c r="Q39" s="86" t="str">
        <f t="shared" si="7"/>
        <v>31</v>
      </c>
      <c r="R39" s="86" t="str">
        <f t="shared" si="8"/>
        <v>94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08006</v>
      </c>
      <c r="B40" s="90" t="str">
        <f>IF(C40="","",VLOOKUP('OPĆI DIO'!$C$3,'OPĆI DIO'!$L$6:$U$138,9,FALSE))</f>
        <v>Sveučilišta i veleučilišta u Republici Hrvatskoj</v>
      </c>
      <c r="C40" s="96">
        <v>31</v>
      </c>
      <c r="D40" s="91" t="str">
        <f t="shared" si="1"/>
        <v>Vlastiti prihodi</v>
      </c>
      <c r="E40" s="96">
        <v>3221</v>
      </c>
      <c r="F40" s="91" t="str">
        <f t="shared" si="2"/>
        <v>Uredski materijal i ostali materijalni rashodi</v>
      </c>
      <c r="G40" s="129" t="s">
        <v>177</v>
      </c>
      <c r="H40" s="91" t="str">
        <f t="shared" si="3"/>
        <v>REDOVNA DJELATNOST SVEUČILIŠTA U OSIJEKU (IZ EVIDENCIJSKIH PRIHODA)</v>
      </c>
      <c r="I40" s="91" t="str">
        <f t="shared" si="4"/>
        <v>0942</v>
      </c>
      <c r="J40" s="128">
        <f>5176+3000</f>
        <v>8176</v>
      </c>
      <c r="K40" s="128">
        <f>4645+3000</f>
        <v>7645</v>
      </c>
      <c r="L40" s="128">
        <f>4645+3000</f>
        <v>7645</v>
      </c>
      <c r="M40" s="95"/>
      <c r="O40" s="86" t="str">
        <f t="shared" si="5"/>
        <v>322</v>
      </c>
      <c r="P40" s="86" t="str">
        <f t="shared" si="6"/>
        <v>32</v>
      </c>
      <c r="Q40" s="86" t="str">
        <f t="shared" si="7"/>
        <v>31</v>
      </c>
      <c r="R40" s="86" t="str">
        <f t="shared" si="8"/>
        <v>94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08006</v>
      </c>
      <c r="B41" s="90" t="str">
        <f>IF(C41="","",VLOOKUP('OPĆI DIO'!$C$3,'OPĆI DIO'!$L$6:$U$138,9,FALSE))</f>
        <v>Sveučilišta i veleučilišta u Republici Hrvatskoj</v>
      </c>
      <c r="C41" s="96">
        <v>31</v>
      </c>
      <c r="D41" s="91" t="str">
        <f t="shared" si="1"/>
        <v>Vlastiti prihodi</v>
      </c>
      <c r="E41" s="96">
        <v>3222</v>
      </c>
      <c r="F41" s="91" t="str">
        <f t="shared" si="2"/>
        <v>Materijal i sirovine</v>
      </c>
      <c r="G41" s="129" t="s">
        <v>177</v>
      </c>
      <c r="H41" s="91" t="str">
        <f t="shared" si="3"/>
        <v>REDOVNA DJELATNOST SVEUČILIŠTA U OSIJEKU (IZ EVIDENCIJSKIH PRIHODA)</v>
      </c>
      <c r="I41" s="91" t="str">
        <f t="shared" si="4"/>
        <v>0942</v>
      </c>
      <c r="J41" s="128">
        <f>31110+20000+60000</f>
        <v>111110</v>
      </c>
      <c r="K41" s="128">
        <f>38489+10000</f>
        <v>48489</v>
      </c>
      <c r="L41" s="128">
        <f>38489+10000</f>
        <v>48489</v>
      </c>
      <c r="M41" s="95"/>
      <c r="O41" s="86" t="str">
        <f t="shared" si="5"/>
        <v>322</v>
      </c>
      <c r="P41" s="86" t="str">
        <f t="shared" si="6"/>
        <v>32</v>
      </c>
      <c r="Q41" s="86" t="str">
        <f t="shared" si="7"/>
        <v>31</v>
      </c>
      <c r="R41" s="86" t="str">
        <f t="shared" si="8"/>
        <v>94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08006</v>
      </c>
      <c r="B42" s="90" t="str">
        <f>IF(C42="","",VLOOKUP('OPĆI DIO'!$C$3,'OPĆI DIO'!$L$6:$U$138,9,FALSE))</f>
        <v>Sveučilišta i veleučilišta u Republici Hrvatskoj</v>
      </c>
      <c r="C42" s="96">
        <v>31</v>
      </c>
      <c r="D42" s="91" t="str">
        <f t="shared" si="1"/>
        <v>Vlastiti prihodi</v>
      </c>
      <c r="E42" s="96">
        <v>3223</v>
      </c>
      <c r="F42" s="91" t="str">
        <f t="shared" si="2"/>
        <v>Energija</v>
      </c>
      <c r="G42" s="129" t="s">
        <v>177</v>
      </c>
      <c r="H42" s="91" t="str">
        <f t="shared" si="3"/>
        <v>REDOVNA DJELATNOST SVEUČILIŠTA U OSIJEKU (IZ EVIDENCIJSKIH PRIHODA)</v>
      </c>
      <c r="I42" s="91" t="str">
        <f t="shared" si="4"/>
        <v>0942</v>
      </c>
      <c r="J42" s="128">
        <f>19908+20000</f>
        <v>39908</v>
      </c>
      <c r="K42" s="128">
        <f>15926+20000</f>
        <v>35926</v>
      </c>
      <c r="L42" s="128">
        <f>15926+20000</f>
        <v>35926</v>
      </c>
      <c r="M42" s="95"/>
      <c r="O42" s="86" t="str">
        <f t="shared" si="5"/>
        <v>322</v>
      </c>
      <c r="P42" s="86" t="str">
        <f t="shared" si="6"/>
        <v>32</v>
      </c>
      <c r="Q42" s="86" t="str">
        <f t="shared" si="7"/>
        <v>31</v>
      </c>
      <c r="R42" s="86" t="str">
        <f t="shared" si="8"/>
        <v>94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08006</v>
      </c>
      <c r="B43" s="90" t="str">
        <f>IF(C43="","",VLOOKUP('OPĆI DIO'!$C$3,'OPĆI DIO'!$L$6:$U$138,9,FALSE))</f>
        <v>Sveučilišta i veleučilišta u Republici Hrvatskoj</v>
      </c>
      <c r="C43" s="96">
        <v>31</v>
      </c>
      <c r="D43" s="91" t="str">
        <f t="shared" si="1"/>
        <v>Vlastiti prihodi</v>
      </c>
      <c r="E43" s="96">
        <v>3224</v>
      </c>
      <c r="F43" s="91" t="str">
        <f t="shared" si="2"/>
        <v>Materijal i dijelovi za tekuće i investicijsko održavanje</v>
      </c>
      <c r="G43" s="129" t="s">
        <v>177</v>
      </c>
      <c r="H43" s="91" t="str">
        <f t="shared" si="3"/>
        <v>REDOVNA DJELATNOST SVEUČILIŠTA U OSIJEKU (IZ EVIDENCIJSKIH PRIHODA)</v>
      </c>
      <c r="I43" s="91" t="str">
        <f t="shared" si="4"/>
        <v>0942</v>
      </c>
      <c r="J43" s="128">
        <f>3318+10000</f>
        <v>13318</v>
      </c>
      <c r="K43" s="128">
        <f>3318+10000</f>
        <v>13318</v>
      </c>
      <c r="L43" s="128">
        <f>3318+10000</f>
        <v>13318</v>
      </c>
      <c r="M43" s="95"/>
      <c r="O43" s="86" t="str">
        <f t="shared" si="5"/>
        <v>322</v>
      </c>
      <c r="P43" s="86" t="str">
        <f t="shared" si="6"/>
        <v>32</v>
      </c>
      <c r="Q43" s="86" t="str">
        <f t="shared" si="7"/>
        <v>31</v>
      </c>
      <c r="R43" s="86" t="str">
        <f t="shared" si="8"/>
        <v>94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08006</v>
      </c>
      <c r="B44" s="90" t="str">
        <f>IF(C44="","",VLOOKUP('OPĆI DIO'!$C$3,'OPĆI DIO'!$L$6:$U$138,9,FALSE))</f>
        <v>Sveučilišta i veleučilišta u Republici Hrvatskoj</v>
      </c>
      <c r="C44" s="96">
        <v>31</v>
      </c>
      <c r="D44" s="91" t="str">
        <f t="shared" si="1"/>
        <v>Vlastiti prihodi</v>
      </c>
      <c r="E44" s="96">
        <v>3225</v>
      </c>
      <c r="F44" s="91" t="str">
        <f t="shared" si="2"/>
        <v>Sitni inventar i auto gume</v>
      </c>
      <c r="G44" s="129" t="s">
        <v>177</v>
      </c>
      <c r="H44" s="91" t="str">
        <f t="shared" si="3"/>
        <v>REDOVNA DJELATNOST SVEUČILIŠTA U OSIJEKU (IZ EVIDENCIJSKIH PRIHODA)</v>
      </c>
      <c r="I44" s="91" t="str">
        <f t="shared" si="4"/>
        <v>0942</v>
      </c>
      <c r="J44" s="128">
        <v>2654.4561682925209</v>
      </c>
      <c r="K44" s="128">
        <v>3318.0702103656513</v>
      </c>
      <c r="L44" s="128">
        <v>3318.0702103656513</v>
      </c>
      <c r="M44" s="95"/>
      <c r="O44" s="86" t="str">
        <f t="shared" si="5"/>
        <v>322</v>
      </c>
      <c r="P44" s="86" t="str">
        <f t="shared" si="6"/>
        <v>32</v>
      </c>
      <c r="Q44" s="86" t="str">
        <f t="shared" si="7"/>
        <v>31</v>
      </c>
      <c r="R44" s="86" t="str">
        <f t="shared" si="8"/>
        <v>94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08006</v>
      </c>
      <c r="B45" s="90" t="str">
        <f>IF(C45="","",VLOOKUP('OPĆI DIO'!$C$3,'OPĆI DIO'!$L$6:$U$138,9,FALSE))</f>
        <v>Sveučilišta i veleučilišta u Republici Hrvatskoj</v>
      </c>
      <c r="C45" s="96">
        <v>31</v>
      </c>
      <c r="D45" s="91" t="str">
        <f t="shared" si="1"/>
        <v>Vlastiti prihodi</v>
      </c>
      <c r="E45" s="96">
        <v>3227</v>
      </c>
      <c r="F45" s="91" t="str">
        <f t="shared" si="2"/>
        <v>Službena, radna i zaštitna odjeća i obuća</v>
      </c>
      <c r="G45" s="129" t="s">
        <v>177</v>
      </c>
      <c r="H45" s="91" t="str">
        <f t="shared" si="3"/>
        <v>REDOVNA DJELATNOST SVEUČILIŠTA U OSIJEKU (IZ EVIDENCIJSKIH PRIHODA)</v>
      </c>
      <c r="I45" s="91" t="str">
        <f t="shared" si="4"/>
        <v>0942</v>
      </c>
      <c r="J45" s="128">
        <v>1327.2280841462605</v>
      </c>
      <c r="K45" s="128">
        <v>1061.7824673170085</v>
      </c>
      <c r="L45" s="128">
        <v>1061.7824673170085</v>
      </c>
      <c r="M45" s="95"/>
      <c r="O45" s="86" t="str">
        <f t="shared" si="5"/>
        <v>322</v>
      </c>
      <c r="P45" s="86" t="str">
        <f t="shared" si="6"/>
        <v>32</v>
      </c>
      <c r="Q45" s="86" t="str">
        <f t="shared" si="7"/>
        <v>31</v>
      </c>
      <c r="R45" s="86" t="str">
        <f t="shared" si="8"/>
        <v>94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08006</v>
      </c>
      <c r="B46" s="90" t="str">
        <f>IF(C46="","",VLOOKUP('OPĆI DIO'!$C$3,'OPĆI DIO'!$L$6:$U$138,9,FALSE))</f>
        <v>Sveučilišta i veleučilišta u Republici Hrvatskoj</v>
      </c>
      <c r="C46" s="96">
        <v>31</v>
      </c>
      <c r="D46" s="91" t="str">
        <f t="shared" si="1"/>
        <v>Vlastiti prihodi</v>
      </c>
      <c r="E46" s="96">
        <v>3231</v>
      </c>
      <c r="F46" s="91" t="str">
        <f t="shared" si="2"/>
        <v>Usluge telefona, pošte i prijevoza</v>
      </c>
      <c r="G46" s="129" t="s">
        <v>177</v>
      </c>
      <c r="H46" s="91" t="str">
        <f t="shared" si="3"/>
        <v>REDOVNA DJELATNOST SVEUČILIŠTA U OSIJEKU (IZ EVIDENCIJSKIH PRIHODA)</v>
      </c>
      <c r="I46" s="91" t="str">
        <f t="shared" si="4"/>
        <v>0942</v>
      </c>
      <c r="J46" s="128">
        <v>4419.6695202070478</v>
      </c>
      <c r="K46" s="128">
        <v>4645.298294511912</v>
      </c>
      <c r="L46" s="128">
        <v>4645.298294511912</v>
      </c>
      <c r="M46" s="95"/>
      <c r="O46" s="86" t="str">
        <f t="shared" si="5"/>
        <v>323</v>
      </c>
      <c r="P46" s="86" t="str">
        <f t="shared" si="6"/>
        <v>32</v>
      </c>
      <c r="Q46" s="86" t="str">
        <f t="shared" si="7"/>
        <v>31</v>
      </c>
      <c r="R46" s="86" t="str">
        <f t="shared" si="8"/>
        <v>94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08006</v>
      </c>
      <c r="B47" s="90" t="str">
        <f>IF(C47="","",VLOOKUP('OPĆI DIO'!$C$3,'OPĆI DIO'!$L$6:$U$138,9,FALSE))</f>
        <v>Sveučilišta i veleučilišta u Republici Hrvatskoj</v>
      </c>
      <c r="C47" s="96">
        <v>31</v>
      </c>
      <c r="D47" s="91" t="str">
        <f t="shared" si="1"/>
        <v>Vlastiti prihodi</v>
      </c>
      <c r="E47" s="96">
        <v>3232</v>
      </c>
      <c r="F47" s="91" t="str">
        <f t="shared" si="2"/>
        <v>Usluge tekućeg i investicijskog održavanja</v>
      </c>
      <c r="G47" s="129" t="s">
        <v>177</v>
      </c>
      <c r="H47" s="91" t="str">
        <f t="shared" si="3"/>
        <v>REDOVNA DJELATNOST SVEUČILIŠTA U OSIJEKU (IZ EVIDENCIJSKIH PRIHODA)</v>
      </c>
      <c r="I47" s="91" t="str">
        <f t="shared" si="4"/>
        <v>0942</v>
      </c>
      <c r="J47" s="128">
        <f>3318+10000</f>
        <v>13318</v>
      </c>
      <c r="K47" s="128">
        <v>24645</v>
      </c>
      <c r="L47" s="128">
        <v>24645</v>
      </c>
      <c r="M47" s="95"/>
      <c r="O47" s="86" t="str">
        <f t="shared" si="5"/>
        <v>323</v>
      </c>
      <c r="P47" s="86" t="str">
        <f t="shared" si="6"/>
        <v>32</v>
      </c>
      <c r="Q47" s="86" t="str">
        <f t="shared" si="7"/>
        <v>31</v>
      </c>
      <c r="R47" s="86" t="str">
        <f t="shared" si="8"/>
        <v>94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08006</v>
      </c>
      <c r="B48" s="90" t="str">
        <f>IF(C48="","",VLOOKUP('OPĆI DIO'!$C$3,'OPĆI DIO'!$L$6:$U$138,9,FALSE))</f>
        <v>Sveučilišta i veleučilišta u Republici Hrvatskoj</v>
      </c>
      <c r="C48" s="96">
        <v>31</v>
      </c>
      <c r="D48" s="91" t="str">
        <f t="shared" si="1"/>
        <v>Vlastiti prihodi</v>
      </c>
      <c r="E48" s="96">
        <v>3233</v>
      </c>
      <c r="F48" s="91" t="str">
        <f t="shared" si="2"/>
        <v>Usluge promidžbe i informiranja</v>
      </c>
      <c r="G48" s="129" t="s">
        <v>177</v>
      </c>
      <c r="H48" s="91" t="str">
        <f t="shared" si="3"/>
        <v>REDOVNA DJELATNOST SVEUČILIŠTA U OSIJEKU (IZ EVIDENCIJSKIH PRIHODA)</v>
      </c>
      <c r="I48" s="91" t="str">
        <f t="shared" si="4"/>
        <v>0942</v>
      </c>
      <c r="J48" s="128">
        <v>1459.9508925608866</v>
      </c>
      <c r="K48" s="128">
        <v>1990.8421262193906</v>
      </c>
      <c r="L48" s="128">
        <v>2256.2877430486428</v>
      </c>
      <c r="M48" s="95"/>
      <c r="O48" s="86" t="str">
        <f t="shared" si="5"/>
        <v>323</v>
      </c>
      <c r="P48" s="86" t="str">
        <f t="shared" si="6"/>
        <v>32</v>
      </c>
      <c r="Q48" s="86" t="str">
        <f t="shared" si="7"/>
        <v>31</v>
      </c>
      <c r="R48" s="86" t="str">
        <f t="shared" si="8"/>
        <v>94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08006</v>
      </c>
      <c r="B49" s="90" t="str">
        <f>IF(C49="","",VLOOKUP('OPĆI DIO'!$C$3,'OPĆI DIO'!$L$6:$U$138,9,FALSE))</f>
        <v>Sveučilišta i veleučilišta u Republici Hrvatskoj</v>
      </c>
      <c r="C49" s="96">
        <v>31</v>
      </c>
      <c r="D49" s="91" t="str">
        <f t="shared" si="1"/>
        <v>Vlastiti prihodi</v>
      </c>
      <c r="E49" s="96">
        <v>3234</v>
      </c>
      <c r="F49" s="91" t="str">
        <f t="shared" si="2"/>
        <v>Komunalne usluge</v>
      </c>
      <c r="G49" s="129" t="s">
        <v>177</v>
      </c>
      <c r="H49" s="91" t="str">
        <f t="shared" si="3"/>
        <v>REDOVNA DJELATNOST SVEUČILIŠTA U OSIJEKU (IZ EVIDENCIJSKIH PRIHODA)</v>
      </c>
      <c r="I49" s="91" t="str">
        <f t="shared" si="4"/>
        <v>0942</v>
      </c>
      <c r="J49" s="128">
        <f>1592+5000</f>
        <v>6592</v>
      </c>
      <c r="K49" s="128">
        <f>1990+5000</f>
        <v>6990</v>
      </c>
      <c r="L49" s="128">
        <f>1990+5000</f>
        <v>6990</v>
      </c>
      <c r="M49" s="95"/>
      <c r="O49" s="86" t="str">
        <f t="shared" si="5"/>
        <v>323</v>
      </c>
      <c r="P49" s="86" t="str">
        <f t="shared" si="6"/>
        <v>32</v>
      </c>
      <c r="Q49" s="86" t="str">
        <f t="shared" si="7"/>
        <v>31</v>
      </c>
      <c r="R49" s="86" t="str">
        <f t="shared" si="8"/>
        <v>94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08006</v>
      </c>
      <c r="B50" s="90" t="str">
        <f>IF(C50="","",VLOOKUP('OPĆI DIO'!$C$3,'OPĆI DIO'!$L$6:$U$138,9,FALSE))</f>
        <v>Sveučilišta i veleučilišta u Republici Hrvatskoj</v>
      </c>
      <c r="C50" s="96">
        <v>31</v>
      </c>
      <c r="D50" s="91" t="str">
        <f t="shared" si="1"/>
        <v>Vlastiti prihodi</v>
      </c>
      <c r="E50" s="96">
        <v>3235</v>
      </c>
      <c r="F50" s="91" t="str">
        <f t="shared" si="2"/>
        <v>Zakupnine i najamnine</v>
      </c>
      <c r="G50" s="129" t="s">
        <v>177</v>
      </c>
      <c r="H50" s="91" t="str">
        <f t="shared" si="3"/>
        <v>REDOVNA DJELATNOST SVEUČILIŠTA U OSIJEKU (IZ EVIDENCIJSKIH PRIHODA)</v>
      </c>
      <c r="I50" s="91" t="str">
        <f t="shared" si="4"/>
        <v>0942</v>
      </c>
      <c r="J50" s="128">
        <v>4233.8575884265711</v>
      </c>
      <c r="K50" s="128">
        <v>3981.6842524387812</v>
      </c>
      <c r="L50" s="128">
        <v>3981.6842524387812</v>
      </c>
      <c r="M50" s="95"/>
      <c r="O50" s="86" t="str">
        <f t="shared" si="5"/>
        <v>323</v>
      </c>
      <c r="P50" s="86" t="str">
        <f t="shared" si="6"/>
        <v>32</v>
      </c>
      <c r="Q50" s="86" t="str">
        <f t="shared" si="7"/>
        <v>31</v>
      </c>
      <c r="R50" s="86" t="str">
        <f t="shared" si="8"/>
        <v>94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08006</v>
      </c>
      <c r="B51" s="90" t="str">
        <f>IF(C51="","",VLOOKUP('OPĆI DIO'!$C$3,'OPĆI DIO'!$L$6:$U$138,9,FALSE))</f>
        <v>Sveučilišta i veleučilišta u Republici Hrvatskoj</v>
      </c>
      <c r="C51" s="96">
        <v>31</v>
      </c>
      <c r="D51" s="91" t="str">
        <f t="shared" si="1"/>
        <v>Vlastiti prihodi</v>
      </c>
      <c r="E51" s="96">
        <v>3236</v>
      </c>
      <c r="F51" s="91" t="str">
        <f t="shared" si="2"/>
        <v>Zdravstvene i veterinarske usluge</v>
      </c>
      <c r="G51" s="129" t="s">
        <v>177</v>
      </c>
      <c r="H51" s="91" t="str">
        <f t="shared" si="3"/>
        <v>REDOVNA DJELATNOST SVEUČILIŠTA U OSIJEKU (IZ EVIDENCIJSKIH PRIHODA)</v>
      </c>
      <c r="I51" s="91" t="str">
        <f t="shared" si="4"/>
        <v>0942</v>
      </c>
      <c r="J51" s="128">
        <v>132.72280841462606</v>
      </c>
      <c r="K51" s="128">
        <v>132.72280841462606</v>
      </c>
      <c r="L51" s="128">
        <v>132.72280841462606</v>
      </c>
      <c r="M51" s="95"/>
      <c r="O51" s="86" t="str">
        <f t="shared" si="5"/>
        <v>323</v>
      </c>
      <c r="P51" s="86" t="str">
        <f t="shared" si="6"/>
        <v>32</v>
      </c>
      <c r="Q51" s="86" t="str">
        <f t="shared" si="7"/>
        <v>31</v>
      </c>
      <c r="R51" s="86" t="str">
        <f t="shared" si="8"/>
        <v>94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08006</v>
      </c>
      <c r="B52" s="90" t="str">
        <f>IF(C52="","",VLOOKUP('OPĆI DIO'!$C$3,'OPĆI DIO'!$L$6:$U$138,9,FALSE))</f>
        <v>Sveučilišta i veleučilišta u Republici Hrvatskoj</v>
      </c>
      <c r="C52" s="96">
        <v>31</v>
      </c>
      <c r="D52" s="91" t="str">
        <f t="shared" si="1"/>
        <v>Vlastiti prihodi</v>
      </c>
      <c r="E52" s="96">
        <v>3237</v>
      </c>
      <c r="F52" s="91" t="str">
        <f t="shared" si="2"/>
        <v>Intelektualne i osobne usluge</v>
      </c>
      <c r="G52" s="129" t="s">
        <v>177</v>
      </c>
      <c r="H52" s="91" t="str">
        <f t="shared" si="3"/>
        <v>REDOVNA DJELATNOST SVEUČILIŠTA U OSIJEKU (IZ EVIDENCIJSKIH PRIHODA)</v>
      </c>
      <c r="I52" s="91" t="str">
        <f t="shared" si="4"/>
        <v>0942</v>
      </c>
      <c r="J52" s="128">
        <v>20545.490742584112</v>
      </c>
      <c r="K52" s="128">
        <f>19908+5000</f>
        <v>24908</v>
      </c>
      <c r="L52" s="128">
        <f>19908+5000</f>
        <v>24908</v>
      </c>
      <c r="M52" s="95"/>
      <c r="O52" s="86" t="str">
        <f t="shared" si="5"/>
        <v>323</v>
      </c>
      <c r="P52" s="86" t="str">
        <f t="shared" si="6"/>
        <v>32</v>
      </c>
      <c r="Q52" s="86" t="str">
        <f t="shared" si="7"/>
        <v>31</v>
      </c>
      <c r="R52" s="86" t="str">
        <f t="shared" si="8"/>
        <v>94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08006</v>
      </c>
      <c r="B53" s="90" t="str">
        <f>IF(C53="","",VLOOKUP('OPĆI DIO'!$C$3,'OPĆI DIO'!$L$6:$U$138,9,FALSE))</f>
        <v>Sveučilišta i veleučilišta u Republici Hrvatskoj</v>
      </c>
      <c r="C53" s="96">
        <v>31</v>
      </c>
      <c r="D53" s="91" t="str">
        <f t="shared" si="1"/>
        <v>Vlastiti prihodi</v>
      </c>
      <c r="E53" s="96">
        <v>3238</v>
      </c>
      <c r="F53" s="91" t="str">
        <f t="shared" si="2"/>
        <v>Računalne usluge</v>
      </c>
      <c r="G53" s="129" t="s">
        <v>177</v>
      </c>
      <c r="H53" s="91" t="str">
        <f t="shared" si="3"/>
        <v>REDOVNA DJELATNOST SVEUČILIŠTA U OSIJEKU (IZ EVIDENCIJSKIH PRIHODA)</v>
      </c>
      <c r="I53" s="91" t="str">
        <f t="shared" si="4"/>
        <v>0942</v>
      </c>
      <c r="J53" s="128">
        <v>1327.2280841462605</v>
      </c>
      <c r="K53" s="128">
        <v>663.61404207313024</v>
      </c>
      <c r="L53" s="128">
        <v>663.61404207313024</v>
      </c>
      <c r="M53" s="95"/>
      <c r="O53" s="86" t="str">
        <f t="shared" si="5"/>
        <v>323</v>
      </c>
      <c r="P53" s="86" t="str">
        <f t="shared" si="6"/>
        <v>32</v>
      </c>
      <c r="Q53" s="86" t="str">
        <f t="shared" si="7"/>
        <v>31</v>
      </c>
      <c r="R53" s="86" t="str">
        <f t="shared" si="8"/>
        <v>94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08006</v>
      </c>
      <c r="B54" s="90" t="str">
        <f>IF(C54="","",VLOOKUP('OPĆI DIO'!$C$3,'OPĆI DIO'!$L$6:$U$138,9,FALSE))</f>
        <v>Sveučilišta i veleučilišta u Republici Hrvatskoj</v>
      </c>
      <c r="C54" s="96">
        <v>31</v>
      </c>
      <c r="D54" s="91" t="str">
        <f t="shared" si="1"/>
        <v>Vlastiti prihodi</v>
      </c>
      <c r="E54" s="96">
        <v>3239</v>
      </c>
      <c r="F54" s="91" t="str">
        <f t="shared" si="2"/>
        <v>Ostale usluge</v>
      </c>
      <c r="G54" s="129" t="s">
        <v>177</v>
      </c>
      <c r="H54" s="91" t="str">
        <f t="shared" si="3"/>
        <v>REDOVNA DJELATNOST SVEUČILIŠTA U OSIJEKU (IZ EVIDENCIJSKIH PRIHODA)</v>
      </c>
      <c r="I54" s="91" t="str">
        <f t="shared" si="4"/>
        <v>0942</v>
      </c>
      <c r="J54" s="128">
        <f>25624+5000</f>
        <v>30624</v>
      </c>
      <c r="K54" s="128">
        <f>21235+5000</f>
        <v>26235</v>
      </c>
      <c r="L54" s="128">
        <f>21235+5000</f>
        <v>26235</v>
      </c>
      <c r="M54" s="95"/>
      <c r="O54" s="86" t="str">
        <f t="shared" si="5"/>
        <v>323</v>
      </c>
      <c r="P54" s="86" t="str">
        <f t="shared" si="6"/>
        <v>32</v>
      </c>
      <c r="Q54" s="86" t="str">
        <f t="shared" si="7"/>
        <v>31</v>
      </c>
      <c r="R54" s="86" t="str">
        <f t="shared" si="8"/>
        <v>94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08006</v>
      </c>
      <c r="B55" s="90" t="str">
        <f>IF(C55="","",VLOOKUP('OPĆI DIO'!$C$3,'OPĆI DIO'!$L$6:$U$138,9,FALSE))</f>
        <v>Sveučilišta i veleučilišta u Republici Hrvatskoj</v>
      </c>
      <c r="C55" s="96">
        <v>31</v>
      </c>
      <c r="D55" s="91" t="str">
        <f t="shared" si="1"/>
        <v>Vlastiti prihodi</v>
      </c>
      <c r="E55" s="96">
        <v>3241</v>
      </c>
      <c r="F55" s="91" t="str">
        <f t="shared" si="2"/>
        <v>Naknade troškova osobama izvan radnog odnosa</v>
      </c>
      <c r="G55" s="129" t="s">
        <v>177</v>
      </c>
      <c r="H55" s="91" t="str">
        <f t="shared" si="3"/>
        <v>REDOVNA DJELATNOST SVEUČILIŠTA U OSIJEKU (IZ EVIDENCIJSKIH PRIHODA)</v>
      </c>
      <c r="I55" s="91" t="str">
        <f t="shared" si="4"/>
        <v>0942</v>
      </c>
      <c r="J55" s="128">
        <v>1592.6737009755125</v>
      </c>
      <c r="K55" s="128">
        <v>1990.8421262193906</v>
      </c>
      <c r="L55" s="128">
        <v>1990.8421262193906</v>
      </c>
      <c r="M55" s="95"/>
      <c r="O55" s="86" t="str">
        <f t="shared" si="5"/>
        <v>324</v>
      </c>
      <c r="P55" s="86" t="str">
        <f t="shared" si="6"/>
        <v>32</v>
      </c>
      <c r="Q55" s="86" t="str">
        <f t="shared" si="7"/>
        <v>31</v>
      </c>
      <c r="R55" s="86" t="str">
        <f t="shared" si="8"/>
        <v>94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08006</v>
      </c>
      <c r="B56" s="90" t="str">
        <f>IF(C56="","",VLOOKUP('OPĆI DIO'!$C$3,'OPĆI DIO'!$L$6:$U$138,9,FALSE))</f>
        <v>Sveučilišta i veleučilišta u Republici Hrvatskoj</v>
      </c>
      <c r="C56" s="96">
        <v>31</v>
      </c>
      <c r="D56" s="91" t="str">
        <f t="shared" si="1"/>
        <v>Vlastiti prihodi</v>
      </c>
      <c r="E56" s="96">
        <v>3292</v>
      </c>
      <c r="F56" s="91" t="str">
        <f t="shared" si="2"/>
        <v>Premije osiguranja</v>
      </c>
      <c r="G56" s="129" t="s">
        <v>177</v>
      </c>
      <c r="H56" s="91" t="str">
        <f t="shared" si="3"/>
        <v>REDOVNA DJELATNOST SVEUČILIŠTA U OSIJEKU (IZ EVIDENCIJSKIH PRIHODA)</v>
      </c>
      <c r="I56" s="91" t="str">
        <f t="shared" si="4"/>
        <v>0942</v>
      </c>
      <c r="J56" s="128">
        <v>796.33685048775624</v>
      </c>
      <c r="K56" s="128">
        <v>1061.7824673170085</v>
      </c>
      <c r="L56" s="128">
        <v>1327.2280841462605</v>
      </c>
      <c r="M56" s="95"/>
      <c r="O56" s="86" t="str">
        <f t="shared" si="5"/>
        <v>329</v>
      </c>
      <c r="P56" s="86" t="str">
        <f t="shared" si="6"/>
        <v>32</v>
      </c>
      <c r="Q56" s="86" t="str">
        <f t="shared" si="7"/>
        <v>31</v>
      </c>
      <c r="R56" s="86" t="str">
        <f t="shared" si="8"/>
        <v>94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08006</v>
      </c>
      <c r="B57" s="90" t="str">
        <f>IF(C57="","",VLOOKUP('OPĆI DIO'!$C$3,'OPĆI DIO'!$L$6:$U$138,9,FALSE))</f>
        <v>Sveučilišta i veleučilišta u Republici Hrvatskoj</v>
      </c>
      <c r="C57" s="96">
        <v>31</v>
      </c>
      <c r="D57" s="91" t="str">
        <f t="shared" si="1"/>
        <v>Vlastiti prihodi</v>
      </c>
      <c r="E57" s="96">
        <v>3293</v>
      </c>
      <c r="F57" s="91" t="str">
        <f t="shared" si="2"/>
        <v>Reprezentacija</v>
      </c>
      <c r="G57" s="129" t="s">
        <v>177</v>
      </c>
      <c r="H57" s="91" t="str">
        <f t="shared" si="3"/>
        <v>REDOVNA DJELATNOST SVEUČILIŠTA U OSIJEKU (IZ EVIDENCIJSKIH PRIHODA)</v>
      </c>
      <c r="I57" s="91" t="str">
        <f t="shared" si="4"/>
        <v>0942</v>
      </c>
      <c r="J57" s="128">
        <v>16590.351051828256</v>
      </c>
      <c r="K57" s="128">
        <v>15926.737009755125</v>
      </c>
      <c r="L57" s="128">
        <v>15926.737009755125</v>
      </c>
      <c r="M57" s="95"/>
      <c r="O57" s="86" t="str">
        <f t="shared" si="5"/>
        <v>329</v>
      </c>
      <c r="P57" s="86" t="str">
        <f t="shared" si="6"/>
        <v>32</v>
      </c>
      <c r="Q57" s="86" t="str">
        <f t="shared" si="7"/>
        <v>31</v>
      </c>
      <c r="R57" s="86" t="str">
        <f t="shared" si="8"/>
        <v>94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08006</v>
      </c>
      <c r="B58" s="90" t="str">
        <f>IF(C58="","",VLOOKUP('OPĆI DIO'!$C$3,'OPĆI DIO'!$L$6:$U$138,9,FALSE))</f>
        <v>Sveučilišta i veleučilišta u Republici Hrvatskoj</v>
      </c>
      <c r="C58" s="96">
        <v>31</v>
      </c>
      <c r="D58" s="91" t="str">
        <f t="shared" si="1"/>
        <v>Vlastiti prihodi</v>
      </c>
      <c r="E58" s="96">
        <v>3294</v>
      </c>
      <c r="F58" s="91" t="str">
        <f t="shared" si="2"/>
        <v>Članarine i norme</v>
      </c>
      <c r="G58" s="129" t="s">
        <v>177</v>
      </c>
      <c r="H58" s="91" t="str">
        <f t="shared" si="3"/>
        <v>REDOVNA DJELATNOST SVEUČILIŠTA U OSIJEKU (IZ EVIDENCIJSKIH PRIHODA)</v>
      </c>
      <c r="I58" s="91" t="str">
        <f t="shared" si="4"/>
        <v>0942</v>
      </c>
      <c r="J58" s="128">
        <v>398.16842524387812</v>
      </c>
      <c r="K58" s="128">
        <v>398.16842524387812</v>
      </c>
      <c r="L58" s="128">
        <v>398.16842524387812</v>
      </c>
      <c r="M58" s="95"/>
      <c r="O58" s="86" t="str">
        <f t="shared" si="5"/>
        <v>329</v>
      </c>
      <c r="P58" s="86" t="str">
        <f t="shared" si="6"/>
        <v>32</v>
      </c>
      <c r="Q58" s="86" t="str">
        <f t="shared" si="7"/>
        <v>31</v>
      </c>
      <c r="R58" s="86" t="str">
        <f t="shared" si="8"/>
        <v>94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08006</v>
      </c>
      <c r="B59" s="90" t="str">
        <f>IF(C59="","",VLOOKUP('OPĆI DIO'!$C$3,'OPĆI DIO'!$L$6:$U$138,9,FALSE))</f>
        <v>Sveučilišta i veleučilišta u Republici Hrvatskoj</v>
      </c>
      <c r="C59" s="96">
        <v>31</v>
      </c>
      <c r="D59" s="91" t="str">
        <f t="shared" si="1"/>
        <v>Vlastiti prihodi</v>
      </c>
      <c r="E59" s="96">
        <v>3295</v>
      </c>
      <c r="F59" s="91" t="str">
        <f t="shared" si="2"/>
        <v>Pristojbe i naknade</v>
      </c>
      <c r="G59" s="129" t="s">
        <v>177</v>
      </c>
      <c r="H59" s="91" t="str">
        <f t="shared" si="3"/>
        <v>REDOVNA DJELATNOST SVEUČILIŠTA U OSIJEKU (IZ EVIDENCIJSKIH PRIHODA)</v>
      </c>
      <c r="I59" s="91" t="str">
        <f t="shared" si="4"/>
        <v>0942</v>
      </c>
      <c r="J59" s="128">
        <v>1990.8421262193906</v>
      </c>
      <c r="K59" s="128">
        <v>1592.6737009755125</v>
      </c>
      <c r="L59" s="128">
        <v>1327.2280841462605</v>
      </c>
      <c r="M59" s="95"/>
      <c r="O59" s="86" t="str">
        <f t="shared" si="5"/>
        <v>329</v>
      </c>
      <c r="P59" s="86" t="str">
        <f t="shared" si="6"/>
        <v>32</v>
      </c>
      <c r="Q59" s="86" t="str">
        <f t="shared" si="7"/>
        <v>31</v>
      </c>
      <c r="R59" s="86" t="str">
        <f t="shared" si="8"/>
        <v>94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08006</v>
      </c>
      <c r="B60" s="90" t="str">
        <f>IF(C60="","",VLOOKUP('OPĆI DIO'!$C$3,'OPĆI DIO'!$L$6:$U$138,9,FALSE))</f>
        <v>Sveučilišta i veleučilišta u Republici Hrvatskoj</v>
      </c>
      <c r="C60" s="96">
        <v>31</v>
      </c>
      <c r="D60" s="91" t="str">
        <f t="shared" si="1"/>
        <v>Vlastiti prihodi</v>
      </c>
      <c r="E60" s="96">
        <v>3299</v>
      </c>
      <c r="F60" s="91" t="str">
        <f t="shared" si="2"/>
        <v>Ostali nespomenuti rashodi poslovanja</v>
      </c>
      <c r="G60" s="129" t="s">
        <v>177</v>
      </c>
      <c r="H60" s="91" t="str">
        <f t="shared" si="3"/>
        <v>REDOVNA DJELATNOST SVEUČILIŠTA U OSIJEKU (IZ EVIDENCIJSKIH PRIHODA)</v>
      </c>
      <c r="I60" s="91" t="str">
        <f t="shared" si="4"/>
        <v>0942</v>
      </c>
      <c r="J60" s="128">
        <v>15448</v>
      </c>
      <c r="K60" s="128">
        <v>22033.844316145729</v>
      </c>
      <c r="L60" s="128">
        <v>21292.720153958457</v>
      </c>
      <c r="M60" s="95"/>
      <c r="O60" s="86" t="str">
        <f t="shared" si="5"/>
        <v>329</v>
      </c>
      <c r="P60" s="86" t="str">
        <f t="shared" si="6"/>
        <v>32</v>
      </c>
      <c r="Q60" s="86" t="str">
        <f t="shared" si="7"/>
        <v>31</v>
      </c>
      <c r="R60" s="86" t="str">
        <f t="shared" si="8"/>
        <v>94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08006</v>
      </c>
      <c r="B61" s="90" t="str">
        <f>IF(C61="","",VLOOKUP('OPĆI DIO'!$C$3,'OPĆI DIO'!$L$6:$U$138,9,FALSE))</f>
        <v>Sveučilišta i veleučilišta u Republici Hrvatskoj</v>
      </c>
      <c r="C61" s="96">
        <v>31</v>
      </c>
      <c r="D61" s="91" t="str">
        <f t="shared" si="1"/>
        <v>Vlastiti prihodi</v>
      </c>
      <c r="E61" s="96">
        <v>3431</v>
      </c>
      <c r="F61" s="91" t="str">
        <f t="shared" si="2"/>
        <v>Bankarske usluge i usluge platnog prometa</v>
      </c>
      <c r="G61" s="129" t="s">
        <v>177</v>
      </c>
      <c r="H61" s="91" t="str">
        <f t="shared" si="3"/>
        <v>REDOVNA DJELATNOST SVEUČILIŠTA U OSIJEKU (IZ EVIDENCIJSKIH PRIHODA)</v>
      </c>
      <c r="I61" s="91" t="str">
        <f t="shared" si="4"/>
        <v>0942</v>
      </c>
      <c r="J61" s="128">
        <v>531</v>
      </c>
      <c r="K61" s="128">
        <v>531</v>
      </c>
      <c r="L61" s="128">
        <v>663</v>
      </c>
      <c r="M61" s="95"/>
      <c r="O61" s="86" t="str">
        <f t="shared" si="5"/>
        <v>343</v>
      </c>
      <c r="P61" s="86" t="str">
        <f t="shared" si="6"/>
        <v>34</v>
      </c>
      <c r="Q61" s="86" t="str">
        <f t="shared" si="7"/>
        <v>31</v>
      </c>
      <c r="R61" s="86" t="str">
        <f t="shared" si="8"/>
        <v>94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08006</v>
      </c>
      <c r="B62" s="90" t="str">
        <f>IF(C62="","",VLOOKUP('OPĆI DIO'!$C$3,'OPĆI DIO'!$L$6:$U$138,9,FALSE))</f>
        <v>Sveučilišta i veleučilišta u Republici Hrvatskoj</v>
      </c>
      <c r="C62" s="96">
        <v>31</v>
      </c>
      <c r="D62" s="91" t="str">
        <f t="shared" si="1"/>
        <v>Vlastiti prihodi</v>
      </c>
      <c r="E62" s="96">
        <v>4221</v>
      </c>
      <c r="F62" s="91" t="str">
        <f t="shared" si="2"/>
        <v>Uredska oprema i namještaj</v>
      </c>
      <c r="G62" s="129" t="s">
        <v>177</v>
      </c>
      <c r="H62" s="91" t="str">
        <f t="shared" si="3"/>
        <v>REDOVNA DJELATNOST SVEUČILIŠTA U OSIJEKU (IZ EVIDENCIJSKIH PRIHODA)</v>
      </c>
      <c r="I62" s="91" t="str">
        <f t="shared" si="4"/>
        <v>0942</v>
      </c>
      <c r="J62" s="128">
        <f>3981+9000+5000</f>
        <v>17981</v>
      </c>
      <c r="K62" s="128">
        <f>3982+10000+5000</f>
        <v>18982</v>
      </c>
      <c r="L62" s="128">
        <f>13982+5000</f>
        <v>18982</v>
      </c>
      <c r="M62" s="95"/>
      <c r="O62" s="86" t="str">
        <f t="shared" si="5"/>
        <v>422</v>
      </c>
      <c r="P62" s="86" t="str">
        <f t="shared" si="6"/>
        <v>42</v>
      </c>
      <c r="Q62" s="86" t="str">
        <f t="shared" si="7"/>
        <v>31</v>
      </c>
      <c r="R62" s="86" t="str">
        <f t="shared" si="8"/>
        <v>94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08006</v>
      </c>
      <c r="B63" s="90" t="str">
        <f>IF(C63="","",VLOOKUP('OPĆI DIO'!$C$3,'OPĆI DIO'!$L$6:$U$138,9,FALSE))</f>
        <v>Sveučilišta i veleučilišta u Republici Hrvatskoj</v>
      </c>
      <c r="C63" s="96">
        <v>31</v>
      </c>
      <c r="D63" s="91" t="str">
        <f t="shared" si="1"/>
        <v>Vlastiti prihodi</v>
      </c>
      <c r="E63" s="96">
        <v>4224</v>
      </c>
      <c r="F63" s="91" t="str">
        <f t="shared" si="2"/>
        <v>Medicinska i laboratorijska oprema</v>
      </c>
      <c r="G63" s="129" t="s">
        <v>177</v>
      </c>
      <c r="H63" s="91" t="str">
        <f t="shared" si="3"/>
        <v>REDOVNA DJELATNOST SVEUČILIŠTA U OSIJEKU (IZ EVIDENCIJSKIH PRIHODA)</v>
      </c>
      <c r="I63" s="91" t="str">
        <f t="shared" si="4"/>
        <v>0942</v>
      </c>
      <c r="J63" s="128">
        <f>60027-8000</f>
        <v>52027</v>
      </c>
      <c r="K63" s="128">
        <v>40000</v>
      </c>
      <c r="L63" s="128">
        <v>40000</v>
      </c>
      <c r="M63" s="95"/>
      <c r="O63" s="86" t="str">
        <f t="shared" si="5"/>
        <v>422</v>
      </c>
      <c r="P63" s="86" t="str">
        <f t="shared" si="6"/>
        <v>42</v>
      </c>
      <c r="Q63" s="86" t="str">
        <f t="shared" si="7"/>
        <v>31</v>
      </c>
      <c r="R63" s="86" t="str">
        <f t="shared" si="8"/>
        <v>94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08006</v>
      </c>
      <c r="B64" s="90" t="str">
        <f>IF(C64="","",VLOOKUP('OPĆI DIO'!$C$3,'OPĆI DIO'!$L$6:$U$138,9,FALSE))</f>
        <v>Sveučilišta i veleučilišta u Republici Hrvatskoj</v>
      </c>
      <c r="C64" s="96">
        <v>31</v>
      </c>
      <c r="D64" s="91" t="str">
        <f t="shared" si="1"/>
        <v>Vlastiti prihodi</v>
      </c>
      <c r="E64" s="96">
        <v>4124</v>
      </c>
      <c r="F64" s="91" t="str">
        <f t="shared" si="2"/>
        <v>Ostala prava</v>
      </c>
      <c r="G64" s="129" t="s">
        <v>177</v>
      </c>
      <c r="H64" s="91" t="str">
        <f t="shared" si="3"/>
        <v>REDOVNA DJELATNOST SVEUČILIŠTA U OSIJEKU (IZ EVIDENCIJSKIH PRIHODA)</v>
      </c>
      <c r="I64" s="91" t="str">
        <f t="shared" si="4"/>
        <v>0942</v>
      </c>
      <c r="J64" s="128">
        <v>63089</v>
      </c>
      <c r="K64" s="128">
        <v>48309.244143606076</v>
      </c>
      <c r="L64" s="128">
        <v>47723.140221647089</v>
      </c>
      <c r="M64" s="95"/>
      <c r="O64" s="86" t="str">
        <f t="shared" si="5"/>
        <v>412</v>
      </c>
      <c r="P64" s="86" t="str">
        <f t="shared" si="6"/>
        <v>41</v>
      </c>
      <c r="Q64" s="86" t="str">
        <f t="shared" si="7"/>
        <v>31</v>
      </c>
      <c r="R64" s="86" t="str">
        <f t="shared" si="8"/>
        <v>94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08006</v>
      </c>
      <c r="B65" s="90" t="str">
        <f>IF(C65="","",VLOOKUP('OPĆI DIO'!$C$3,'OPĆI DIO'!$L$6:$U$138,9,FALSE))</f>
        <v>Sveučilišta i veleučilišta u Republici Hrvatskoj</v>
      </c>
      <c r="C65" s="96">
        <v>31</v>
      </c>
      <c r="D65" s="91" t="str">
        <f t="shared" si="1"/>
        <v>Vlastiti prihodi</v>
      </c>
      <c r="E65" s="96">
        <v>3423</v>
      </c>
      <c r="F65" s="91" t="str">
        <f t="shared" si="2"/>
        <v>Kamate za primljene kredite i zajmove od kreditnih i ostalih</v>
      </c>
      <c r="G65" s="129" t="s">
        <v>177</v>
      </c>
      <c r="H65" s="91" t="str">
        <f t="shared" si="3"/>
        <v>REDOVNA DJELATNOST SVEUČILIŠTA U OSIJEKU (IZ EVIDENCIJSKIH PRIHODA)</v>
      </c>
      <c r="I65" s="91" t="str">
        <f t="shared" si="4"/>
        <v>0942</v>
      </c>
      <c r="J65" s="128">
        <v>1899</v>
      </c>
      <c r="K65" s="128">
        <v>1313</v>
      </c>
      <c r="L65" s="128">
        <v>708</v>
      </c>
      <c r="M65" s="95"/>
      <c r="O65" s="86" t="str">
        <f t="shared" si="5"/>
        <v>342</v>
      </c>
      <c r="P65" s="86" t="str">
        <f t="shared" si="6"/>
        <v>34</v>
      </c>
      <c r="Q65" s="86" t="str">
        <f t="shared" si="7"/>
        <v>31</v>
      </c>
      <c r="R65" s="86" t="str">
        <f t="shared" si="8"/>
        <v>94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>08006</v>
      </c>
      <c r="B66" s="90" t="str">
        <f>IF(C66="","",VLOOKUP('OPĆI DIO'!$C$3,'OPĆI DIO'!$L$6:$U$138,9,FALSE))</f>
        <v>Sveučilišta i veleučilišta u Republici Hrvatskoj</v>
      </c>
      <c r="C66" s="96">
        <v>81</v>
      </c>
      <c r="D66" s="91" t="str">
        <f t="shared" si="1"/>
        <v>Namjenski primici od zaduživanja</v>
      </c>
      <c r="E66" s="96">
        <v>5445</v>
      </c>
      <c r="F66" s="91" t="str">
        <f t="shared" si="2"/>
        <v>Otplata glavnice primljenih zajmova od ostalih tuzemnih financijskih institucija izvan javnog sektora</v>
      </c>
      <c r="G66" s="129" t="s">
        <v>177</v>
      </c>
      <c r="H66" s="91" t="str">
        <f t="shared" si="3"/>
        <v>REDOVNA DJELATNOST SVEUČILIŠTA U OSIJEKU (IZ EVIDENCIJSKIH PRIHODA)</v>
      </c>
      <c r="I66" s="91" t="str">
        <f t="shared" si="4"/>
        <v>0942</v>
      </c>
      <c r="J66" s="128">
        <v>18053</v>
      </c>
      <c r="K66" s="128">
        <v>18639</v>
      </c>
      <c r="L66" s="128">
        <v>19244</v>
      </c>
      <c r="M66" s="95"/>
      <c r="O66" s="86" t="str">
        <f t="shared" si="5"/>
        <v>544</v>
      </c>
      <c r="P66" s="86" t="str">
        <f t="shared" si="6"/>
        <v>54</v>
      </c>
      <c r="Q66" s="86" t="str">
        <f t="shared" si="7"/>
        <v>81</v>
      </c>
      <c r="R66" s="86" t="str">
        <f t="shared" si="8"/>
        <v>94</v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>08006</v>
      </c>
      <c r="B67" s="90" t="str">
        <f>IF(C67="","",VLOOKUP('OPĆI DIO'!$C$3,'OPĆI DIO'!$L$6:$U$138,9,FALSE))</f>
        <v>Sveučilišta i veleučilišta u Republici Hrvatskoj</v>
      </c>
      <c r="C67" s="96">
        <v>43</v>
      </c>
      <c r="D67" s="91" t="str">
        <f t="shared" ref="D67:D130" si="13">IFERROR(VLOOKUP(C67,$S$6:$T$24,2,FALSE),"")</f>
        <v>Ostali prihodi za posebne namjene</v>
      </c>
      <c r="E67" s="96">
        <v>3111</v>
      </c>
      <c r="F67" s="91" t="str">
        <f t="shared" si="2"/>
        <v>Plaće za redovan rad</v>
      </c>
      <c r="G67" s="129" t="s">
        <v>177</v>
      </c>
      <c r="H67" s="91" t="str">
        <f t="shared" si="3"/>
        <v>REDOVNA DJELATNOST SVEUČILIŠTA U OSIJEKU (IZ EVIDENCIJSKIH PRIHODA)</v>
      </c>
      <c r="I67" s="91" t="str">
        <f t="shared" si="4"/>
        <v>0942</v>
      </c>
      <c r="J67" s="128">
        <v>50434.667197557901</v>
      </c>
      <c r="K67" s="128">
        <v>54416.351449996677</v>
      </c>
      <c r="L67" s="128">
        <v>54416.351449996677</v>
      </c>
      <c r="M67" s="95"/>
      <c r="O67" s="86" t="str">
        <f t="shared" si="5"/>
        <v>311</v>
      </c>
      <c r="P67" s="86" t="str">
        <f t="shared" si="6"/>
        <v>31</v>
      </c>
      <c r="Q67" s="86" t="str">
        <f t="shared" si="7"/>
        <v>43</v>
      </c>
      <c r="R67" s="86" t="str">
        <f t="shared" si="8"/>
        <v>94</v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>08006</v>
      </c>
      <c r="B68" s="90" t="str">
        <f>IF(C68="","",VLOOKUP('OPĆI DIO'!$C$3,'OPĆI DIO'!$L$6:$U$138,9,FALSE))</f>
        <v>Sveučilišta i veleučilišta u Republici Hrvatskoj</v>
      </c>
      <c r="C68" s="96">
        <v>43</v>
      </c>
      <c r="D68" s="91" t="str">
        <f t="shared" si="13"/>
        <v>Ostali prihodi za posebne namjene</v>
      </c>
      <c r="E68" s="96">
        <v>3121</v>
      </c>
      <c r="F68" s="91" t="str">
        <f t="shared" ref="F68:F131" si="14">IFERROR(VLOOKUP(E68,$V$5:$X$129,2,FALSE),"")</f>
        <v>Ostali rashodi za zaposlene</v>
      </c>
      <c r="G68" s="129" t="s">
        <v>177</v>
      </c>
      <c r="H68" s="91" t="str">
        <f t="shared" ref="H68:H98" si="15">IFERROR(VLOOKUP(G68,$AB$6:$AC$327,2,FALSE),"")</f>
        <v>REDOVNA DJELATNOST SVEUČILIŠTA U OSIJEKU (IZ EVIDENCIJSKIH PRIHODA)</v>
      </c>
      <c r="I68" s="91" t="str">
        <f t="shared" ref="I68:I98" si="16">IFERROR(VLOOKUP(G68,$AB$6:$AF$327,3,FALSE),"")</f>
        <v>0942</v>
      </c>
      <c r="J68" s="128">
        <v>7963.3685048775624</v>
      </c>
      <c r="K68" s="128">
        <v>7299.7544628044325</v>
      </c>
      <c r="L68" s="128">
        <v>7299.7544628044325</v>
      </c>
      <c r="M68" s="95"/>
      <c r="O68" s="86" t="str">
        <f t="shared" ref="O68:O131" si="17">LEFT(E68,3)</f>
        <v>312</v>
      </c>
      <c r="P68" s="86" t="str">
        <f t="shared" ref="P68:P131" si="18">LEFT(E68,2)</f>
        <v>31</v>
      </c>
      <c r="Q68" s="86" t="str">
        <f t="shared" ref="Q68:Q131" si="19">LEFT(C68,3)</f>
        <v>43</v>
      </c>
      <c r="R68" s="86" t="str">
        <f t="shared" ref="R68:R131" si="20">MID(I68,2,2)</f>
        <v>94</v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>08006</v>
      </c>
      <c r="B69" s="90" t="str">
        <f>IF(C69="","",VLOOKUP('OPĆI DIO'!$C$3,'OPĆI DIO'!$L$6:$U$138,9,FALSE))</f>
        <v>Sveučilišta i veleučilišta u Republici Hrvatskoj</v>
      </c>
      <c r="C69" s="96">
        <v>43</v>
      </c>
      <c r="D69" s="91" t="str">
        <f t="shared" si="13"/>
        <v>Ostali prihodi za posebne namjene</v>
      </c>
      <c r="E69" s="96">
        <v>3132</v>
      </c>
      <c r="F69" s="91" t="str">
        <f t="shared" si="14"/>
        <v>Doprinosi za obvezno zdravstveno osiguranje</v>
      </c>
      <c r="G69" s="129" t="s">
        <v>177</v>
      </c>
      <c r="H69" s="91" t="str">
        <f t="shared" si="15"/>
        <v>REDOVNA DJELATNOST SVEUČILIŠTA U OSIJEKU (IZ EVIDENCIJSKIH PRIHODA)</v>
      </c>
      <c r="I69" s="91" t="str">
        <f t="shared" si="16"/>
        <v>0942</v>
      </c>
      <c r="J69" s="128">
        <v>12701.572765279712</v>
      </c>
      <c r="K69" s="128">
        <v>8978.6979892494528</v>
      </c>
      <c r="L69" s="128">
        <v>8978.6979892494528</v>
      </c>
      <c r="M69" s="95"/>
      <c r="O69" s="86" t="str">
        <f t="shared" si="17"/>
        <v>313</v>
      </c>
      <c r="P69" s="86" t="str">
        <f t="shared" si="18"/>
        <v>31</v>
      </c>
      <c r="Q69" s="86" t="str">
        <f t="shared" si="19"/>
        <v>43</v>
      </c>
      <c r="R69" s="86" t="str">
        <f t="shared" si="20"/>
        <v>94</v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>08006</v>
      </c>
      <c r="B70" s="90" t="str">
        <f>IF(C70="","",VLOOKUP('OPĆI DIO'!$C$3,'OPĆI DIO'!$L$6:$U$138,9,FALSE))</f>
        <v>Sveučilišta i veleučilišta u Republici Hrvatskoj</v>
      </c>
      <c r="C70" s="96">
        <v>43</v>
      </c>
      <c r="D70" s="91" t="str">
        <f t="shared" si="13"/>
        <v>Ostali prihodi za posebne namjene</v>
      </c>
      <c r="E70" s="96">
        <v>3211</v>
      </c>
      <c r="F70" s="91" t="str">
        <f t="shared" si="14"/>
        <v>Službena putovanja</v>
      </c>
      <c r="G70" s="129" t="s">
        <v>177</v>
      </c>
      <c r="H70" s="91" t="str">
        <f t="shared" si="15"/>
        <v>REDOVNA DJELATNOST SVEUČILIŠTA U OSIJEKU (IZ EVIDENCIJSKIH PRIHODA)</v>
      </c>
      <c r="I70" s="91" t="str">
        <f t="shared" si="16"/>
        <v>0942</v>
      </c>
      <c r="J70" s="128">
        <v>15926.737009755125</v>
      </c>
      <c r="K70" s="128">
        <v>27208.175724998338</v>
      </c>
      <c r="L70" s="128">
        <v>26544.56168292521</v>
      </c>
      <c r="M70" s="95"/>
      <c r="O70" s="86" t="str">
        <f t="shared" si="17"/>
        <v>321</v>
      </c>
      <c r="P70" s="86" t="str">
        <f t="shared" si="18"/>
        <v>32</v>
      </c>
      <c r="Q70" s="86" t="str">
        <f t="shared" si="19"/>
        <v>43</v>
      </c>
      <c r="R70" s="86" t="str">
        <f t="shared" si="20"/>
        <v>94</v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>08006</v>
      </c>
      <c r="B71" s="90" t="str">
        <f>IF(C71="","",VLOOKUP('OPĆI DIO'!$C$3,'OPĆI DIO'!$L$6:$U$138,9,FALSE))</f>
        <v>Sveučilišta i veleučilišta u Republici Hrvatskoj</v>
      </c>
      <c r="C71" s="96">
        <v>43</v>
      </c>
      <c r="D71" s="91" t="str">
        <f t="shared" si="13"/>
        <v>Ostali prihodi za posebne namjene</v>
      </c>
      <c r="E71" s="96">
        <v>3213</v>
      </c>
      <c r="F71" s="91" t="str">
        <f t="shared" si="14"/>
        <v>Stručno usavršavanje zaposlenika</v>
      </c>
      <c r="G71" s="129" t="s">
        <v>177</v>
      </c>
      <c r="H71" s="91" t="str">
        <f t="shared" si="15"/>
        <v>REDOVNA DJELATNOST SVEUČILIŠTA U OSIJEKU (IZ EVIDENCIJSKIH PRIHODA)</v>
      </c>
      <c r="I71" s="91" t="str">
        <f t="shared" si="16"/>
        <v>0942</v>
      </c>
      <c r="J71" s="128">
        <v>5574.3579534142937</v>
      </c>
      <c r="K71" s="128">
        <f>5972+2000</f>
        <v>7972</v>
      </c>
      <c r="L71" s="128">
        <f>5972+5000</f>
        <v>10972</v>
      </c>
      <c r="M71" s="95"/>
      <c r="O71" s="86" t="str">
        <f t="shared" si="17"/>
        <v>321</v>
      </c>
      <c r="P71" s="86" t="str">
        <f t="shared" si="18"/>
        <v>32</v>
      </c>
      <c r="Q71" s="86" t="str">
        <f t="shared" si="19"/>
        <v>43</v>
      </c>
      <c r="R71" s="86" t="str">
        <f t="shared" si="20"/>
        <v>94</v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>08006</v>
      </c>
      <c r="B72" s="90" t="str">
        <f>IF(C72="","",VLOOKUP('OPĆI DIO'!$C$3,'OPĆI DIO'!$L$6:$U$138,9,FALSE))</f>
        <v>Sveučilišta i veleučilišta u Republici Hrvatskoj</v>
      </c>
      <c r="C72" s="96">
        <v>43</v>
      </c>
      <c r="D72" s="91" t="str">
        <f t="shared" si="13"/>
        <v>Ostali prihodi za posebne namjene</v>
      </c>
      <c r="E72" s="96">
        <v>3221</v>
      </c>
      <c r="F72" s="91" t="str">
        <f t="shared" si="14"/>
        <v>Uredski materijal i ostali materijalni rashodi</v>
      </c>
      <c r="G72" s="129" t="s">
        <v>177</v>
      </c>
      <c r="H72" s="91" t="str">
        <f t="shared" si="15"/>
        <v>REDOVNA DJELATNOST SVEUČILIŠTA U OSIJEKU (IZ EVIDENCIJSKIH PRIHODA)</v>
      </c>
      <c r="I72" s="91" t="str">
        <f t="shared" si="16"/>
        <v>0942</v>
      </c>
      <c r="J72" s="128">
        <v>11281.438715243214</v>
      </c>
      <c r="K72" s="128">
        <v>10617.824673170084</v>
      </c>
      <c r="L72" s="128">
        <v>10617.824673170084</v>
      </c>
      <c r="M72" s="95"/>
      <c r="O72" s="86" t="str">
        <f t="shared" si="17"/>
        <v>322</v>
      </c>
      <c r="P72" s="86" t="str">
        <f t="shared" si="18"/>
        <v>32</v>
      </c>
      <c r="Q72" s="86" t="str">
        <f t="shared" si="19"/>
        <v>43</v>
      </c>
      <c r="R72" s="86" t="str">
        <f t="shared" si="20"/>
        <v>94</v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>08006</v>
      </c>
      <c r="B73" s="90" t="str">
        <f>IF(C73="","",VLOOKUP('OPĆI DIO'!$C$3,'OPĆI DIO'!$L$6:$U$138,9,FALSE))</f>
        <v>Sveučilišta i veleučilišta u Republici Hrvatskoj</v>
      </c>
      <c r="C73" s="96">
        <v>43</v>
      </c>
      <c r="D73" s="91" t="str">
        <f t="shared" si="13"/>
        <v>Ostali prihodi za posebne namjene</v>
      </c>
      <c r="E73" s="96">
        <v>3222</v>
      </c>
      <c r="F73" s="91" t="str">
        <f t="shared" si="14"/>
        <v>Materijal i sirovine</v>
      </c>
      <c r="G73" s="129" t="s">
        <v>177</v>
      </c>
      <c r="H73" s="91" t="str">
        <f t="shared" si="15"/>
        <v>REDOVNA DJELATNOST SVEUČILIŠTA U OSIJEKU (IZ EVIDENCIJSKIH PRIHODA)</v>
      </c>
      <c r="I73" s="91" t="str">
        <f t="shared" si="16"/>
        <v>0942</v>
      </c>
      <c r="J73" s="128">
        <f>31853+111</f>
        <v>31964</v>
      </c>
      <c r="K73" s="128">
        <f>26544+5536</f>
        <v>32080</v>
      </c>
      <c r="L73" s="128">
        <f>26544+9417</f>
        <v>35961</v>
      </c>
      <c r="M73" s="95"/>
      <c r="O73" s="86" t="str">
        <f t="shared" si="17"/>
        <v>322</v>
      </c>
      <c r="P73" s="86" t="str">
        <f t="shared" si="18"/>
        <v>32</v>
      </c>
      <c r="Q73" s="86" t="str">
        <f t="shared" si="19"/>
        <v>43</v>
      </c>
      <c r="R73" s="86" t="str">
        <f t="shared" si="20"/>
        <v>94</v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>08006</v>
      </c>
      <c r="B74" s="90" t="str">
        <f>IF(C74="","",VLOOKUP('OPĆI DIO'!$C$3,'OPĆI DIO'!$L$6:$U$138,9,FALSE))</f>
        <v>Sveučilišta i veleučilišta u Republici Hrvatskoj</v>
      </c>
      <c r="C74" s="96">
        <v>43</v>
      </c>
      <c r="D74" s="91" t="str">
        <f t="shared" si="13"/>
        <v>Ostali prihodi za posebne namjene</v>
      </c>
      <c r="E74" s="96">
        <v>3223</v>
      </c>
      <c r="F74" s="91" t="str">
        <f t="shared" si="14"/>
        <v>Energija</v>
      </c>
      <c r="G74" s="129" t="s">
        <v>177</v>
      </c>
      <c r="H74" s="91" t="str">
        <f t="shared" si="15"/>
        <v>REDOVNA DJELATNOST SVEUČILIŠTA U OSIJEKU (IZ EVIDENCIJSKIH PRIHODA)</v>
      </c>
      <c r="I74" s="91" t="str">
        <f t="shared" si="16"/>
        <v>0942</v>
      </c>
      <c r="J74" s="128">
        <f>37249+5000+10000</f>
        <v>52249</v>
      </c>
      <c r="K74" s="128">
        <f>45125+8000</f>
        <v>53125</v>
      </c>
      <c r="L74" s="128">
        <f>46452</f>
        <v>46452</v>
      </c>
      <c r="M74" s="95"/>
      <c r="O74" s="86" t="str">
        <f t="shared" si="17"/>
        <v>322</v>
      </c>
      <c r="P74" s="86" t="str">
        <f t="shared" si="18"/>
        <v>32</v>
      </c>
      <c r="Q74" s="86" t="str">
        <f t="shared" si="19"/>
        <v>43</v>
      </c>
      <c r="R74" s="86" t="str">
        <f t="shared" si="20"/>
        <v>94</v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>08006</v>
      </c>
      <c r="B75" s="90" t="str">
        <f>IF(C75="","",VLOOKUP('OPĆI DIO'!$C$3,'OPĆI DIO'!$L$6:$U$138,9,FALSE))</f>
        <v>Sveučilišta i veleučilišta u Republici Hrvatskoj</v>
      </c>
      <c r="C75" s="96">
        <v>43</v>
      </c>
      <c r="D75" s="91" t="str">
        <f t="shared" si="13"/>
        <v>Ostali prihodi za posebne namjene</v>
      </c>
      <c r="E75" s="96">
        <v>3224</v>
      </c>
      <c r="F75" s="91" t="str">
        <f t="shared" si="14"/>
        <v>Materijal i dijelovi za tekuće i investicijsko održavanje</v>
      </c>
      <c r="G75" s="129" t="s">
        <v>177</v>
      </c>
      <c r="H75" s="91" t="str">
        <f t="shared" si="15"/>
        <v>REDOVNA DJELATNOST SVEUČILIŠTA U OSIJEKU (IZ EVIDENCIJSKIH PRIHODA)</v>
      </c>
      <c r="I75" s="91" t="str">
        <f t="shared" si="16"/>
        <v>0942</v>
      </c>
      <c r="J75" s="128">
        <f>11281+5000</f>
        <v>16281</v>
      </c>
      <c r="K75" s="128">
        <f>9954+5000</f>
        <v>14954</v>
      </c>
      <c r="L75" s="128">
        <f>9290+4000+2266</f>
        <v>15556</v>
      </c>
      <c r="M75" s="95"/>
      <c r="O75" s="86" t="str">
        <f t="shared" si="17"/>
        <v>322</v>
      </c>
      <c r="P75" s="86" t="str">
        <f t="shared" si="18"/>
        <v>32</v>
      </c>
      <c r="Q75" s="86" t="str">
        <f t="shared" si="19"/>
        <v>43</v>
      </c>
      <c r="R75" s="86" t="str">
        <f t="shared" si="20"/>
        <v>94</v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>08006</v>
      </c>
      <c r="B76" s="90" t="str">
        <f>IF(C76="","",VLOOKUP('OPĆI DIO'!$C$3,'OPĆI DIO'!$L$6:$U$138,9,FALSE))</f>
        <v>Sveučilišta i veleučilišta u Republici Hrvatskoj</v>
      </c>
      <c r="C76" s="96">
        <v>43</v>
      </c>
      <c r="D76" s="91" t="str">
        <f t="shared" si="13"/>
        <v>Ostali prihodi za posebne namjene</v>
      </c>
      <c r="E76" s="96">
        <v>3225</v>
      </c>
      <c r="F76" s="91" t="str">
        <f t="shared" si="14"/>
        <v>Sitni inventar i auto gume</v>
      </c>
      <c r="G76" s="129" t="s">
        <v>177</v>
      </c>
      <c r="H76" s="91" t="str">
        <f t="shared" si="15"/>
        <v>REDOVNA DJELATNOST SVEUČILIŠTA U OSIJEKU (IZ EVIDENCIJSKIH PRIHODA)</v>
      </c>
      <c r="I76" s="91" t="str">
        <f t="shared" si="16"/>
        <v>0942</v>
      </c>
      <c r="J76" s="128">
        <v>4379.8526776826593</v>
      </c>
      <c r="K76" s="128">
        <v>3318.0702103656513</v>
      </c>
      <c r="L76" s="128">
        <v>3384.431614572964</v>
      </c>
      <c r="M76" s="95"/>
      <c r="O76" s="86" t="str">
        <f t="shared" si="17"/>
        <v>322</v>
      </c>
      <c r="P76" s="86" t="str">
        <f t="shared" si="18"/>
        <v>32</v>
      </c>
      <c r="Q76" s="86" t="str">
        <f t="shared" si="19"/>
        <v>43</v>
      </c>
      <c r="R76" s="86" t="str">
        <f t="shared" si="20"/>
        <v>94</v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>08006</v>
      </c>
      <c r="B77" s="90" t="str">
        <f>IF(C77="","",VLOOKUP('OPĆI DIO'!$C$3,'OPĆI DIO'!$L$6:$U$138,9,FALSE))</f>
        <v>Sveučilišta i veleučilišta u Republici Hrvatskoj</v>
      </c>
      <c r="C77" s="96">
        <v>43</v>
      </c>
      <c r="D77" s="91" t="str">
        <f t="shared" si="13"/>
        <v>Ostali prihodi za posebne namjene</v>
      </c>
      <c r="E77" s="96">
        <v>3227</v>
      </c>
      <c r="F77" s="91" t="str">
        <f t="shared" si="14"/>
        <v>Službena, radna i zaštitna odjeća i obuća</v>
      </c>
      <c r="G77" s="129" t="s">
        <v>177</v>
      </c>
      <c r="H77" s="91" t="str">
        <f t="shared" si="15"/>
        <v>REDOVNA DJELATNOST SVEUČILIŠTA U OSIJEKU (IZ EVIDENCIJSKIH PRIHODA)</v>
      </c>
      <c r="I77" s="91" t="str">
        <f t="shared" si="16"/>
        <v>0942</v>
      </c>
      <c r="J77" s="128">
        <f>1990+1016+3</f>
        <v>3009</v>
      </c>
      <c r="K77" s="128">
        <v>2656</v>
      </c>
      <c r="L77" s="128">
        <v>2654.4561682925209</v>
      </c>
      <c r="M77" s="95"/>
      <c r="O77" s="86" t="str">
        <f t="shared" si="17"/>
        <v>322</v>
      </c>
      <c r="P77" s="86" t="str">
        <f t="shared" si="18"/>
        <v>32</v>
      </c>
      <c r="Q77" s="86" t="str">
        <f t="shared" si="19"/>
        <v>43</v>
      </c>
      <c r="R77" s="86" t="str">
        <f t="shared" si="20"/>
        <v>94</v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>08006</v>
      </c>
      <c r="B78" s="90" t="str">
        <f>IF(C78="","",VLOOKUP('OPĆI DIO'!$C$3,'OPĆI DIO'!$L$6:$U$138,9,FALSE))</f>
        <v>Sveučilišta i veleučilišta u Republici Hrvatskoj</v>
      </c>
      <c r="C78" s="96">
        <v>43</v>
      </c>
      <c r="D78" s="91" t="str">
        <f t="shared" si="13"/>
        <v>Ostali prihodi za posebne namjene</v>
      </c>
      <c r="E78" s="96">
        <v>3231</v>
      </c>
      <c r="F78" s="91" t="str">
        <f t="shared" si="14"/>
        <v>Usluge telefona, pošte i prijevoza</v>
      </c>
      <c r="G78" s="129" t="s">
        <v>177</v>
      </c>
      <c r="H78" s="91" t="str">
        <f t="shared" si="15"/>
        <v>REDOVNA DJELATNOST SVEUČILIŠTA U OSIJEKU (IZ EVIDENCIJSKIH PRIHODA)</v>
      </c>
      <c r="I78" s="91" t="str">
        <f t="shared" si="16"/>
        <v>0942</v>
      </c>
      <c r="J78" s="128">
        <v>3318.0702103656513</v>
      </c>
      <c r="K78" s="128">
        <v>3317</v>
      </c>
      <c r="L78" s="128">
        <v>3318.0702103656513</v>
      </c>
      <c r="M78" s="95"/>
      <c r="O78" s="86" t="str">
        <f t="shared" si="17"/>
        <v>323</v>
      </c>
      <c r="P78" s="86" t="str">
        <f t="shared" si="18"/>
        <v>32</v>
      </c>
      <c r="Q78" s="86" t="str">
        <f t="shared" si="19"/>
        <v>43</v>
      </c>
      <c r="R78" s="86" t="str">
        <f t="shared" si="20"/>
        <v>94</v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>08006</v>
      </c>
      <c r="B79" s="90" t="str">
        <f>IF(C79="","",VLOOKUP('OPĆI DIO'!$C$3,'OPĆI DIO'!$L$6:$U$138,9,FALSE))</f>
        <v>Sveučilišta i veleučilišta u Republici Hrvatskoj</v>
      </c>
      <c r="C79" s="96">
        <v>43</v>
      </c>
      <c r="D79" s="91" t="str">
        <f t="shared" si="13"/>
        <v>Ostali prihodi za posebne namjene</v>
      </c>
      <c r="E79" s="96">
        <v>3232</v>
      </c>
      <c r="F79" s="91" t="str">
        <f t="shared" si="14"/>
        <v>Usluge tekućeg i investicijskog održavanja</v>
      </c>
      <c r="G79" s="129" t="s">
        <v>177</v>
      </c>
      <c r="H79" s="91" t="str">
        <f t="shared" si="15"/>
        <v>REDOVNA DJELATNOST SVEUČILIŠTA U OSIJEKU (IZ EVIDENCIJSKIH PRIHODA)</v>
      </c>
      <c r="I79" s="91" t="str">
        <f t="shared" si="16"/>
        <v>0942</v>
      </c>
      <c r="J79" s="128">
        <f>7299+5000</f>
        <v>12299</v>
      </c>
      <c r="K79" s="128">
        <v>17792.288804831111</v>
      </c>
      <c r="L79" s="128">
        <f>4625+15000</f>
        <v>19625</v>
      </c>
      <c r="M79" s="95"/>
      <c r="O79" s="86" t="str">
        <f t="shared" si="17"/>
        <v>323</v>
      </c>
      <c r="P79" s="86" t="str">
        <f t="shared" si="18"/>
        <v>32</v>
      </c>
      <c r="Q79" s="86" t="str">
        <f t="shared" si="19"/>
        <v>43</v>
      </c>
      <c r="R79" s="86" t="str">
        <f t="shared" si="20"/>
        <v>94</v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>08006</v>
      </c>
      <c r="B80" s="90" t="str">
        <f>IF(C80="","",VLOOKUP('OPĆI DIO'!$C$3,'OPĆI DIO'!$L$6:$U$138,9,FALSE))</f>
        <v>Sveučilišta i veleučilišta u Republici Hrvatskoj</v>
      </c>
      <c r="C80" s="96">
        <v>43</v>
      </c>
      <c r="D80" s="91" t="str">
        <f t="shared" si="13"/>
        <v>Ostali prihodi za posebne namjene</v>
      </c>
      <c r="E80" s="96">
        <v>3233</v>
      </c>
      <c r="F80" s="91" t="str">
        <f t="shared" si="14"/>
        <v>Usluge promidžbe i informiranja</v>
      </c>
      <c r="G80" s="129" t="s">
        <v>177</v>
      </c>
      <c r="H80" s="91" t="str">
        <f t="shared" si="15"/>
        <v>REDOVNA DJELATNOST SVEUČILIŠTA U OSIJEKU (IZ EVIDENCIJSKIH PRIHODA)</v>
      </c>
      <c r="I80" s="91" t="str">
        <f t="shared" si="16"/>
        <v>0942</v>
      </c>
      <c r="J80" s="128">
        <v>8096.0913132921887</v>
      </c>
      <c r="K80" s="128">
        <v>8626.9825469506923</v>
      </c>
      <c r="L80" s="128">
        <v>8626.9825469506923</v>
      </c>
      <c r="M80" s="95"/>
      <c r="O80" s="86" t="str">
        <f t="shared" si="17"/>
        <v>323</v>
      </c>
      <c r="P80" s="86" t="str">
        <f t="shared" si="18"/>
        <v>32</v>
      </c>
      <c r="Q80" s="86" t="str">
        <f t="shared" si="19"/>
        <v>43</v>
      </c>
      <c r="R80" s="86" t="str">
        <f t="shared" si="20"/>
        <v>94</v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>08006</v>
      </c>
      <c r="B81" s="90" t="str">
        <f>IF(C81="","",VLOOKUP('OPĆI DIO'!$C$3,'OPĆI DIO'!$L$6:$U$138,9,FALSE))</f>
        <v>Sveučilišta i veleučilišta u Republici Hrvatskoj</v>
      </c>
      <c r="C81" s="96">
        <v>43</v>
      </c>
      <c r="D81" s="91" t="str">
        <f t="shared" si="13"/>
        <v>Ostali prihodi za posebne namjene</v>
      </c>
      <c r="E81" s="96">
        <v>3234</v>
      </c>
      <c r="F81" s="91" t="str">
        <f t="shared" si="14"/>
        <v>Komunalne usluge</v>
      </c>
      <c r="G81" s="129" t="s">
        <v>177</v>
      </c>
      <c r="H81" s="91" t="str">
        <f t="shared" si="15"/>
        <v>REDOVNA DJELATNOST SVEUČILIŠTA U OSIJEKU (IZ EVIDENCIJSKIH PRIHODA)</v>
      </c>
      <c r="I81" s="91" t="str">
        <f t="shared" si="16"/>
        <v>0942</v>
      </c>
      <c r="J81" s="128">
        <f>12608+1000</f>
        <v>13608</v>
      </c>
      <c r="K81" s="128">
        <f>10617+2939</f>
        <v>13556</v>
      </c>
      <c r="L81" s="128">
        <f>10617+4000</f>
        <v>14617</v>
      </c>
      <c r="M81" s="95"/>
      <c r="O81" s="86" t="str">
        <f t="shared" si="17"/>
        <v>323</v>
      </c>
      <c r="P81" s="86" t="str">
        <f t="shared" si="18"/>
        <v>32</v>
      </c>
      <c r="Q81" s="86" t="str">
        <f t="shared" si="19"/>
        <v>43</v>
      </c>
      <c r="R81" s="86" t="str">
        <f t="shared" si="20"/>
        <v>94</v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>08006</v>
      </c>
      <c r="B82" s="90" t="str">
        <f>IF(C82="","",VLOOKUP('OPĆI DIO'!$C$3,'OPĆI DIO'!$L$6:$U$138,9,FALSE))</f>
        <v>Sveučilišta i veleučilišta u Republici Hrvatskoj</v>
      </c>
      <c r="C82" s="96">
        <v>43</v>
      </c>
      <c r="D82" s="91" t="str">
        <f t="shared" si="13"/>
        <v>Ostali prihodi za posebne namjene</v>
      </c>
      <c r="E82" s="96">
        <v>3235</v>
      </c>
      <c r="F82" s="91" t="str">
        <f t="shared" si="14"/>
        <v>Zakupnine i najamnine</v>
      </c>
      <c r="G82" s="129" t="s">
        <v>177</v>
      </c>
      <c r="H82" s="91" t="str">
        <f t="shared" si="15"/>
        <v>REDOVNA DJELATNOST SVEUČILIŠTA U OSIJEKU (IZ EVIDENCIJSKIH PRIHODA)</v>
      </c>
      <c r="I82" s="91" t="str">
        <f t="shared" si="16"/>
        <v>0942</v>
      </c>
      <c r="J82" s="128">
        <v>3318.0702103656513</v>
      </c>
      <c r="K82" s="128">
        <v>3318.0702103656513</v>
      </c>
      <c r="L82" s="128">
        <v>3318.0702103656513</v>
      </c>
      <c r="M82" s="95"/>
      <c r="O82" s="86" t="str">
        <f t="shared" si="17"/>
        <v>323</v>
      </c>
      <c r="P82" s="86" t="str">
        <f t="shared" si="18"/>
        <v>32</v>
      </c>
      <c r="Q82" s="86" t="str">
        <f t="shared" si="19"/>
        <v>43</v>
      </c>
      <c r="R82" s="86" t="str">
        <f t="shared" si="20"/>
        <v>94</v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>08006</v>
      </c>
      <c r="B83" s="90" t="str">
        <f>IF(C83="","",VLOOKUP('OPĆI DIO'!$C$3,'OPĆI DIO'!$L$6:$U$138,9,FALSE))</f>
        <v>Sveučilišta i veleučilišta u Republici Hrvatskoj</v>
      </c>
      <c r="C83" s="96">
        <v>43</v>
      </c>
      <c r="D83" s="91" t="str">
        <f t="shared" si="13"/>
        <v>Ostali prihodi za posebne namjene</v>
      </c>
      <c r="E83" s="96">
        <v>3236</v>
      </c>
      <c r="F83" s="91" t="str">
        <f t="shared" si="14"/>
        <v>Zdravstvene i veterinarske usluge</v>
      </c>
      <c r="G83" s="129" t="s">
        <v>177</v>
      </c>
      <c r="H83" s="91" t="str">
        <f t="shared" si="15"/>
        <v>REDOVNA DJELATNOST SVEUČILIŠTA U OSIJEKU (IZ EVIDENCIJSKIH PRIHODA)</v>
      </c>
      <c r="I83" s="91" t="str">
        <f t="shared" si="16"/>
        <v>0942</v>
      </c>
      <c r="J83" s="128">
        <v>1991</v>
      </c>
      <c r="K83" s="128">
        <v>2654.4561682925209</v>
      </c>
      <c r="L83" s="128">
        <v>2654.4561682925209</v>
      </c>
      <c r="M83" s="95"/>
      <c r="O83" s="86" t="str">
        <f t="shared" si="17"/>
        <v>323</v>
      </c>
      <c r="P83" s="86" t="str">
        <f t="shared" si="18"/>
        <v>32</v>
      </c>
      <c r="Q83" s="86" t="str">
        <f t="shared" si="19"/>
        <v>43</v>
      </c>
      <c r="R83" s="86" t="str">
        <f t="shared" si="20"/>
        <v>94</v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>08006</v>
      </c>
      <c r="B84" s="90" t="str">
        <f>IF(C84="","",VLOOKUP('OPĆI DIO'!$C$3,'OPĆI DIO'!$L$6:$U$138,9,FALSE))</f>
        <v>Sveučilišta i veleučilišta u Republici Hrvatskoj</v>
      </c>
      <c r="C84" s="96">
        <v>43</v>
      </c>
      <c r="D84" s="91" t="str">
        <f t="shared" si="13"/>
        <v>Ostali prihodi za posebne namjene</v>
      </c>
      <c r="E84" s="96">
        <v>3237</v>
      </c>
      <c r="F84" s="91" t="str">
        <f t="shared" si="14"/>
        <v>Intelektualne i osobne usluge</v>
      </c>
      <c r="G84" s="129" t="s">
        <v>177</v>
      </c>
      <c r="H84" s="91" t="str">
        <f t="shared" si="15"/>
        <v>REDOVNA DJELATNOST SVEUČILIŠTA U OSIJEKU (IZ EVIDENCIJSKIH PRIHODA)</v>
      </c>
      <c r="I84" s="91" t="str">
        <f t="shared" si="16"/>
        <v>0942</v>
      </c>
      <c r="J84" s="128">
        <v>24726.259207644831</v>
      </c>
      <c r="K84" s="128">
        <v>24553.719556705819</v>
      </c>
      <c r="L84" s="128">
        <v>24553.719556705819</v>
      </c>
      <c r="M84" s="95"/>
      <c r="O84" s="86" t="str">
        <f t="shared" si="17"/>
        <v>323</v>
      </c>
      <c r="P84" s="86" t="str">
        <f t="shared" si="18"/>
        <v>32</v>
      </c>
      <c r="Q84" s="86" t="str">
        <f t="shared" si="19"/>
        <v>43</v>
      </c>
      <c r="R84" s="86" t="str">
        <f t="shared" si="20"/>
        <v>94</v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>08006</v>
      </c>
      <c r="B85" s="90" t="str">
        <f>IF(C85="","",VLOOKUP('OPĆI DIO'!$C$3,'OPĆI DIO'!$L$6:$U$138,9,FALSE))</f>
        <v>Sveučilišta i veleučilišta u Republici Hrvatskoj</v>
      </c>
      <c r="C85" s="96">
        <v>43</v>
      </c>
      <c r="D85" s="91" t="str">
        <f t="shared" si="13"/>
        <v>Ostali prihodi za posebne namjene</v>
      </c>
      <c r="E85" s="96">
        <v>3238</v>
      </c>
      <c r="F85" s="91" t="str">
        <f t="shared" si="14"/>
        <v>Računalne usluge</v>
      </c>
      <c r="G85" s="129" t="s">
        <v>177</v>
      </c>
      <c r="H85" s="91" t="str">
        <f t="shared" si="15"/>
        <v>REDOVNA DJELATNOST SVEUČILIŠTA U OSIJEKU (IZ EVIDENCIJSKIH PRIHODA)</v>
      </c>
      <c r="I85" s="91" t="str">
        <f t="shared" si="16"/>
        <v>0942</v>
      </c>
      <c r="J85" s="128">
        <v>4645.298294511912</v>
      </c>
      <c r="K85" s="128">
        <v>4711.6596987192243</v>
      </c>
      <c r="L85" s="128">
        <v>4778.0211029265374</v>
      </c>
      <c r="M85" s="95"/>
      <c r="O85" s="86" t="str">
        <f t="shared" si="17"/>
        <v>323</v>
      </c>
      <c r="P85" s="86" t="str">
        <f t="shared" si="18"/>
        <v>32</v>
      </c>
      <c r="Q85" s="86" t="str">
        <f t="shared" si="19"/>
        <v>43</v>
      </c>
      <c r="R85" s="86" t="str">
        <f t="shared" si="20"/>
        <v>94</v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>08006</v>
      </c>
      <c r="B86" s="90" t="str">
        <f>IF(C86="","",VLOOKUP('OPĆI DIO'!$C$3,'OPĆI DIO'!$L$6:$U$138,9,FALSE))</f>
        <v>Sveučilišta i veleučilišta u Republici Hrvatskoj</v>
      </c>
      <c r="C86" s="96">
        <v>43</v>
      </c>
      <c r="D86" s="91" t="str">
        <f t="shared" si="13"/>
        <v>Ostali prihodi za posebne namjene</v>
      </c>
      <c r="E86" s="96">
        <v>3239</v>
      </c>
      <c r="F86" s="91" t="str">
        <f t="shared" si="14"/>
        <v>Ostale usluge</v>
      </c>
      <c r="G86" s="129" t="s">
        <v>177</v>
      </c>
      <c r="H86" s="91" t="str">
        <f t="shared" si="15"/>
        <v>REDOVNA DJELATNOST SVEUČILIŠTA U OSIJEKU (IZ EVIDENCIJSKIH PRIHODA)</v>
      </c>
      <c r="I86" s="91" t="str">
        <f t="shared" si="16"/>
        <v>0942</v>
      </c>
      <c r="J86" s="128">
        <f>4645+4000</f>
        <v>8645</v>
      </c>
      <c r="K86" s="128">
        <v>17253.965093901385</v>
      </c>
      <c r="L86" s="128">
        <v>17253.965093901385</v>
      </c>
      <c r="M86" s="95"/>
      <c r="O86" s="86" t="str">
        <f t="shared" si="17"/>
        <v>323</v>
      </c>
      <c r="P86" s="86" t="str">
        <f t="shared" si="18"/>
        <v>32</v>
      </c>
      <c r="Q86" s="86" t="str">
        <f t="shared" si="19"/>
        <v>43</v>
      </c>
      <c r="R86" s="86" t="str">
        <f t="shared" si="20"/>
        <v>94</v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>08006</v>
      </c>
      <c r="B87" s="90" t="str">
        <f>IF(C87="","",VLOOKUP('OPĆI DIO'!$C$3,'OPĆI DIO'!$L$6:$U$138,9,FALSE))</f>
        <v>Sveučilišta i veleučilišta u Republici Hrvatskoj</v>
      </c>
      <c r="C87" s="96">
        <v>43</v>
      </c>
      <c r="D87" s="91" t="str">
        <f t="shared" si="13"/>
        <v>Ostali prihodi za posebne namjene</v>
      </c>
      <c r="E87" s="96">
        <v>3241</v>
      </c>
      <c r="F87" s="91" t="str">
        <f t="shared" si="14"/>
        <v>Naknade troškova osobama izvan radnog odnosa</v>
      </c>
      <c r="G87" s="129" t="s">
        <v>177</v>
      </c>
      <c r="H87" s="91" t="str">
        <f t="shared" si="15"/>
        <v>REDOVNA DJELATNOST SVEUČILIŠTA U OSIJEKU (IZ EVIDENCIJSKIH PRIHODA)</v>
      </c>
      <c r="I87" s="91" t="str">
        <f t="shared" si="16"/>
        <v>0942</v>
      </c>
      <c r="J87" s="128">
        <v>2654.4561682925209</v>
      </c>
      <c r="K87" s="128">
        <v>2654.4561682925209</v>
      </c>
      <c r="L87" s="128">
        <v>2654.4561682925209</v>
      </c>
      <c r="M87" s="95"/>
      <c r="O87" s="86" t="str">
        <f t="shared" si="17"/>
        <v>324</v>
      </c>
      <c r="P87" s="86" t="str">
        <f t="shared" si="18"/>
        <v>32</v>
      </c>
      <c r="Q87" s="86" t="str">
        <f t="shared" si="19"/>
        <v>43</v>
      </c>
      <c r="R87" s="86" t="str">
        <f t="shared" si="20"/>
        <v>94</v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>08006</v>
      </c>
      <c r="B88" s="90" t="str">
        <f>IF(C88="","",VLOOKUP('OPĆI DIO'!$C$3,'OPĆI DIO'!$L$6:$U$138,9,FALSE))</f>
        <v>Sveučilišta i veleučilišta u Republici Hrvatskoj</v>
      </c>
      <c r="C88" s="96">
        <v>43</v>
      </c>
      <c r="D88" s="91" t="str">
        <f t="shared" si="13"/>
        <v>Ostali prihodi za posebne namjene</v>
      </c>
      <c r="E88" s="96">
        <v>3292</v>
      </c>
      <c r="F88" s="91" t="str">
        <f t="shared" si="14"/>
        <v>Premije osiguranja</v>
      </c>
      <c r="G88" s="129" t="s">
        <v>177</v>
      </c>
      <c r="H88" s="91" t="str">
        <f t="shared" si="15"/>
        <v>REDOVNA DJELATNOST SVEUČILIŠTA U OSIJEKU (IZ EVIDENCIJSKIH PRIHODA)</v>
      </c>
      <c r="I88" s="91" t="str">
        <f t="shared" si="16"/>
        <v>0942</v>
      </c>
      <c r="J88" s="128">
        <v>7299.7544628044325</v>
      </c>
      <c r="K88" s="128">
        <v>7299.7544628044325</v>
      </c>
      <c r="L88" s="128">
        <v>7963.3685048775624</v>
      </c>
      <c r="M88" s="95"/>
      <c r="O88" s="86" t="str">
        <f t="shared" si="17"/>
        <v>329</v>
      </c>
      <c r="P88" s="86" t="str">
        <f t="shared" si="18"/>
        <v>32</v>
      </c>
      <c r="Q88" s="86" t="str">
        <f t="shared" si="19"/>
        <v>43</v>
      </c>
      <c r="R88" s="86" t="str">
        <f t="shared" si="20"/>
        <v>94</v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>08006</v>
      </c>
      <c r="B89" s="90" t="str">
        <f>IF(C89="","",VLOOKUP('OPĆI DIO'!$C$3,'OPĆI DIO'!$L$6:$U$138,9,FALSE))</f>
        <v>Sveučilišta i veleučilišta u Republici Hrvatskoj</v>
      </c>
      <c r="C89" s="96">
        <v>43</v>
      </c>
      <c r="D89" s="91" t="str">
        <f t="shared" si="13"/>
        <v>Ostali prihodi za posebne namjene</v>
      </c>
      <c r="E89" s="96">
        <v>3293</v>
      </c>
      <c r="F89" s="91" t="str">
        <f t="shared" si="14"/>
        <v>Reprezentacija</v>
      </c>
      <c r="G89" s="129" t="s">
        <v>177</v>
      </c>
      <c r="H89" s="91" t="str">
        <f t="shared" si="15"/>
        <v>REDOVNA DJELATNOST SVEUČILIŠTA U OSIJEKU (IZ EVIDENCIJSKIH PRIHODA)</v>
      </c>
      <c r="I89" s="91" t="str">
        <f t="shared" si="16"/>
        <v>0942</v>
      </c>
      <c r="J89" s="128">
        <v>8000</v>
      </c>
      <c r="K89" s="128">
        <v>8000</v>
      </c>
      <c r="L89" s="128">
        <v>8000</v>
      </c>
      <c r="M89" s="95"/>
      <c r="O89" s="86" t="str">
        <f t="shared" si="17"/>
        <v>329</v>
      </c>
      <c r="P89" s="86" t="str">
        <f t="shared" si="18"/>
        <v>32</v>
      </c>
      <c r="Q89" s="86" t="str">
        <f t="shared" si="19"/>
        <v>43</v>
      </c>
      <c r="R89" s="86" t="str">
        <f t="shared" si="20"/>
        <v>94</v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>08006</v>
      </c>
      <c r="B90" s="90" t="str">
        <f>IF(C90="","",VLOOKUP('OPĆI DIO'!$C$3,'OPĆI DIO'!$L$6:$U$138,9,FALSE))</f>
        <v>Sveučilišta i veleučilišta u Republici Hrvatskoj</v>
      </c>
      <c r="C90" s="96">
        <v>43</v>
      </c>
      <c r="D90" s="91" t="str">
        <f t="shared" si="13"/>
        <v>Ostali prihodi za posebne namjene</v>
      </c>
      <c r="E90" s="96">
        <v>3294</v>
      </c>
      <c r="F90" s="91" t="str">
        <f t="shared" si="14"/>
        <v>Članarine i norme</v>
      </c>
      <c r="G90" s="129" t="s">
        <v>177</v>
      </c>
      <c r="H90" s="91" t="str">
        <f t="shared" si="15"/>
        <v>REDOVNA DJELATNOST SVEUČILIŠTA U OSIJEKU (IZ EVIDENCIJSKIH PRIHODA)</v>
      </c>
      <c r="I90" s="91" t="str">
        <f t="shared" si="16"/>
        <v>0942</v>
      </c>
      <c r="J90" s="128">
        <v>929.05965890238235</v>
      </c>
      <c r="K90" s="128">
        <v>530.89123365850423</v>
      </c>
      <c r="L90" s="128">
        <v>530.89123365850423</v>
      </c>
      <c r="M90" s="95"/>
      <c r="O90" s="86" t="str">
        <f t="shared" si="17"/>
        <v>329</v>
      </c>
      <c r="P90" s="86" t="str">
        <f t="shared" si="18"/>
        <v>32</v>
      </c>
      <c r="Q90" s="86" t="str">
        <f t="shared" si="19"/>
        <v>43</v>
      </c>
      <c r="R90" s="86" t="str">
        <f t="shared" si="20"/>
        <v>94</v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>08006</v>
      </c>
      <c r="B91" s="90" t="str">
        <f>IF(C91="","",VLOOKUP('OPĆI DIO'!$C$3,'OPĆI DIO'!$L$6:$U$138,9,FALSE))</f>
        <v>Sveučilišta i veleučilišta u Republici Hrvatskoj</v>
      </c>
      <c r="C91" s="96">
        <v>43</v>
      </c>
      <c r="D91" s="91" t="str">
        <f t="shared" si="13"/>
        <v>Ostali prihodi za posebne namjene</v>
      </c>
      <c r="E91" s="96">
        <v>3295</v>
      </c>
      <c r="F91" s="91" t="str">
        <f t="shared" si="14"/>
        <v>Pristojbe i naknade</v>
      </c>
      <c r="G91" s="129" t="s">
        <v>177</v>
      </c>
      <c r="H91" s="91" t="str">
        <f t="shared" si="15"/>
        <v>REDOVNA DJELATNOST SVEUČILIŠTA U OSIJEKU (IZ EVIDENCIJSKIH PRIHODA)</v>
      </c>
      <c r="I91" s="91" t="str">
        <f t="shared" si="16"/>
        <v>0942</v>
      </c>
      <c r="J91" s="128">
        <v>1061.7824673170085</v>
      </c>
      <c r="K91" s="128">
        <v>1061.7824673170085</v>
      </c>
      <c r="L91" s="128">
        <v>1061.7824673170085</v>
      </c>
      <c r="M91" s="95"/>
      <c r="O91" s="86" t="str">
        <f t="shared" si="17"/>
        <v>329</v>
      </c>
      <c r="P91" s="86" t="str">
        <f t="shared" si="18"/>
        <v>32</v>
      </c>
      <c r="Q91" s="86" t="str">
        <f t="shared" si="19"/>
        <v>43</v>
      </c>
      <c r="R91" s="86" t="str">
        <f t="shared" si="20"/>
        <v>94</v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>08006</v>
      </c>
      <c r="B92" s="90" t="str">
        <f>IF(C92="","",VLOOKUP('OPĆI DIO'!$C$3,'OPĆI DIO'!$L$6:$U$138,9,FALSE))</f>
        <v>Sveučilišta i veleučilišta u Republici Hrvatskoj</v>
      </c>
      <c r="C92" s="96">
        <v>43</v>
      </c>
      <c r="D92" s="91" t="str">
        <f t="shared" si="13"/>
        <v>Ostali prihodi za posebne namjene</v>
      </c>
      <c r="E92" s="96">
        <v>3299</v>
      </c>
      <c r="F92" s="91" t="str">
        <f t="shared" si="14"/>
        <v>Ostali nespomenuti rashodi poslovanja</v>
      </c>
      <c r="G92" s="129" t="s">
        <v>177</v>
      </c>
      <c r="H92" s="91" t="str">
        <f t="shared" si="15"/>
        <v>REDOVNA DJELATNOST SVEUČILIŠTA U OSIJEKU (IZ EVIDENCIJSKIH PRIHODA)</v>
      </c>
      <c r="I92" s="91" t="str">
        <f t="shared" si="16"/>
        <v>0942</v>
      </c>
      <c r="J92" s="128">
        <v>2210</v>
      </c>
      <c r="K92" s="128">
        <v>2563</v>
      </c>
      <c r="L92" s="128">
        <v>8581</v>
      </c>
      <c r="M92" s="95"/>
      <c r="O92" s="86" t="str">
        <f t="shared" si="17"/>
        <v>329</v>
      </c>
      <c r="P92" s="86" t="str">
        <f t="shared" si="18"/>
        <v>32</v>
      </c>
      <c r="Q92" s="86" t="str">
        <f t="shared" si="19"/>
        <v>43</v>
      </c>
      <c r="R92" s="86" t="str">
        <f t="shared" si="20"/>
        <v>94</v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>08006</v>
      </c>
      <c r="B93" s="90" t="str">
        <f>IF(C93="","",VLOOKUP('OPĆI DIO'!$C$3,'OPĆI DIO'!$L$6:$U$138,9,FALSE))</f>
        <v>Sveučilišta i veleučilišta u Republici Hrvatskoj</v>
      </c>
      <c r="C93" s="96">
        <v>43</v>
      </c>
      <c r="D93" s="91" t="str">
        <f t="shared" si="13"/>
        <v>Ostali prihodi za posebne namjene</v>
      </c>
      <c r="E93" s="96">
        <v>3431</v>
      </c>
      <c r="F93" s="91" t="str">
        <f t="shared" si="14"/>
        <v>Bankarske usluge i usluge platnog prometa</v>
      </c>
      <c r="G93" s="129" t="s">
        <v>177</v>
      </c>
      <c r="H93" s="91" t="str">
        <f t="shared" si="15"/>
        <v>REDOVNA DJELATNOST SVEUČILIŠTA U OSIJEKU (IZ EVIDENCIJSKIH PRIHODA)</v>
      </c>
      <c r="I93" s="91" t="str">
        <f t="shared" si="16"/>
        <v>0942</v>
      </c>
      <c r="J93" s="128">
        <v>7167.0316543898061</v>
      </c>
      <c r="K93" s="128">
        <v>7963.3685048775624</v>
      </c>
      <c r="L93" s="128">
        <v>7963.3685048775624</v>
      </c>
      <c r="M93" s="95"/>
      <c r="O93" s="86" t="str">
        <f t="shared" si="17"/>
        <v>343</v>
      </c>
      <c r="P93" s="86" t="str">
        <f t="shared" si="18"/>
        <v>34</v>
      </c>
      <c r="Q93" s="86" t="str">
        <f t="shared" si="19"/>
        <v>43</v>
      </c>
      <c r="R93" s="86" t="str">
        <f t="shared" si="20"/>
        <v>94</v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>08006</v>
      </c>
      <c r="B94" s="90" t="str">
        <f>IF(C94="","",VLOOKUP('OPĆI DIO'!$C$3,'OPĆI DIO'!$L$6:$U$138,9,FALSE))</f>
        <v>Sveučilišta i veleučilišta u Republici Hrvatskoj</v>
      </c>
      <c r="C94" s="96">
        <v>43</v>
      </c>
      <c r="D94" s="91" t="str">
        <f t="shared" si="13"/>
        <v>Ostali prihodi za posebne namjene</v>
      </c>
      <c r="E94" s="96">
        <v>3434</v>
      </c>
      <c r="F94" s="91" t="str">
        <f t="shared" si="14"/>
        <v>Ostali nespomenuti financijski rashodi</v>
      </c>
      <c r="G94" s="129" t="s">
        <v>177</v>
      </c>
      <c r="H94" s="91" t="str">
        <f t="shared" si="15"/>
        <v>REDOVNA DJELATNOST SVEUČILIŠTA U OSIJEKU (IZ EVIDENCIJSKIH PRIHODA)</v>
      </c>
      <c r="I94" s="91" t="str">
        <f t="shared" si="16"/>
        <v>0942</v>
      </c>
      <c r="J94" s="128">
        <v>1327.2280841462605</v>
      </c>
      <c r="K94" s="128">
        <v>1327.2280841462605</v>
      </c>
      <c r="L94" s="128">
        <v>1327.2280841462605</v>
      </c>
      <c r="M94" s="95"/>
      <c r="O94" s="86" t="str">
        <f t="shared" si="17"/>
        <v>343</v>
      </c>
      <c r="P94" s="86" t="str">
        <f t="shared" si="18"/>
        <v>34</v>
      </c>
      <c r="Q94" s="86" t="str">
        <f t="shared" si="19"/>
        <v>43</v>
      </c>
      <c r="R94" s="86" t="str">
        <f t="shared" si="20"/>
        <v>94</v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>08006</v>
      </c>
      <c r="B95" s="90" t="str">
        <f>IF(C95="","",VLOOKUP('OPĆI DIO'!$C$3,'OPĆI DIO'!$L$6:$U$138,9,FALSE))</f>
        <v>Sveučilišta i veleučilišta u Republici Hrvatskoj</v>
      </c>
      <c r="C95" s="96">
        <v>43</v>
      </c>
      <c r="D95" s="91" t="str">
        <f t="shared" si="13"/>
        <v>Ostali prihodi za posebne namjene</v>
      </c>
      <c r="E95" s="96">
        <v>4221</v>
      </c>
      <c r="F95" s="91" t="str">
        <f t="shared" si="14"/>
        <v>Uredska oprema i namještaj</v>
      </c>
      <c r="G95" s="129" t="s">
        <v>177</v>
      </c>
      <c r="H95" s="91" t="str">
        <f t="shared" si="15"/>
        <v>REDOVNA DJELATNOST SVEUČILIŠTA U OSIJEKU (IZ EVIDENCIJSKIH PRIHODA)</v>
      </c>
      <c r="I95" s="91" t="str">
        <f t="shared" si="16"/>
        <v>0942</v>
      </c>
      <c r="J95" s="128">
        <v>2516.6898931581391</v>
      </c>
      <c r="K95" s="128">
        <v>6636.1404207313026</v>
      </c>
      <c r="L95" s="128">
        <v>6636.1404207313026</v>
      </c>
      <c r="M95" s="95"/>
      <c r="O95" s="86" t="str">
        <f t="shared" si="17"/>
        <v>422</v>
      </c>
      <c r="P95" s="86" t="str">
        <f t="shared" si="18"/>
        <v>42</v>
      </c>
      <c r="Q95" s="86" t="str">
        <f t="shared" si="19"/>
        <v>43</v>
      </c>
      <c r="R95" s="86" t="str">
        <f t="shared" si="20"/>
        <v>94</v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>08006</v>
      </c>
      <c r="B96" s="90" t="str">
        <f>IF(C96="","",VLOOKUP('OPĆI DIO'!$C$3,'OPĆI DIO'!$L$6:$U$138,9,FALSE))</f>
        <v>Sveučilišta i veleučilišta u Republici Hrvatskoj</v>
      </c>
      <c r="C96" s="96">
        <v>43</v>
      </c>
      <c r="D96" s="91" t="str">
        <f t="shared" si="13"/>
        <v>Ostali prihodi za posebne namjene</v>
      </c>
      <c r="E96" s="96">
        <v>4224</v>
      </c>
      <c r="F96" s="91" t="str">
        <f t="shared" si="14"/>
        <v>Medicinska i laboratorijska oprema</v>
      </c>
      <c r="G96" s="129" t="s">
        <v>177</v>
      </c>
      <c r="H96" s="91" t="str">
        <f t="shared" si="15"/>
        <v>REDOVNA DJELATNOST SVEUČILIŠTA U OSIJEKU (IZ EVIDENCIJSKIH PRIHODA)</v>
      </c>
      <c r="I96" s="91" t="str">
        <f t="shared" si="16"/>
        <v>0942</v>
      </c>
      <c r="J96" s="128">
        <v>8000</v>
      </c>
      <c r="K96" s="128">
        <v>8581</v>
      </c>
      <c r="L96" s="128">
        <v>3727</v>
      </c>
      <c r="M96" s="95"/>
      <c r="O96" s="86" t="str">
        <f t="shared" si="17"/>
        <v>422</v>
      </c>
      <c r="P96" s="86" t="str">
        <f t="shared" si="18"/>
        <v>42</v>
      </c>
      <c r="Q96" s="86" t="str">
        <f t="shared" si="19"/>
        <v>43</v>
      </c>
      <c r="R96" s="86" t="str">
        <f t="shared" si="20"/>
        <v>94</v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>08006</v>
      </c>
      <c r="B97" s="90" t="str">
        <f>IF(C97="","",VLOOKUP('OPĆI DIO'!$C$3,'OPĆI DIO'!$L$6:$U$138,9,FALSE))</f>
        <v>Sveučilišta i veleučilišta u Republici Hrvatskoj</v>
      </c>
      <c r="C97" s="96">
        <v>43</v>
      </c>
      <c r="D97" s="91" t="str">
        <f t="shared" si="13"/>
        <v>Ostali prihodi za posebne namjene</v>
      </c>
      <c r="E97" s="96">
        <v>4124</v>
      </c>
      <c r="F97" s="91" t="str">
        <f t="shared" si="14"/>
        <v>Ostala prava</v>
      </c>
      <c r="G97" s="129" t="s">
        <v>177</v>
      </c>
      <c r="H97" s="91" t="str">
        <f t="shared" si="15"/>
        <v>REDOVNA DJELATNOST SVEUČILIŠTA U OSIJEKU (IZ EVIDENCIJSKIH PRIHODA)</v>
      </c>
      <c r="I97" s="91" t="str">
        <f t="shared" si="16"/>
        <v>0942</v>
      </c>
      <c r="J97" s="128">
        <v>48000</v>
      </c>
      <c r="K97" s="128">
        <v>20000</v>
      </c>
      <c r="L97" s="128">
        <v>20000</v>
      </c>
      <c r="M97" s="95"/>
      <c r="O97" s="86" t="str">
        <f t="shared" si="17"/>
        <v>412</v>
      </c>
      <c r="P97" s="86" t="str">
        <f t="shared" si="18"/>
        <v>41</v>
      </c>
      <c r="Q97" s="86" t="str">
        <f t="shared" si="19"/>
        <v>43</v>
      </c>
      <c r="R97" s="86" t="str">
        <f t="shared" si="20"/>
        <v>94</v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>08006</v>
      </c>
      <c r="B98" s="90" t="str">
        <f>IF(C98="","",VLOOKUP('OPĆI DIO'!$C$3,'OPĆI DIO'!$L$6:$U$138,9,FALSE))</f>
        <v>Sveučilišta i veleučilišta u Republici Hrvatskoj</v>
      </c>
      <c r="C98" s="96">
        <v>43</v>
      </c>
      <c r="D98" s="91" t="str">
        <f t="shared" si="13"/>
        <v>Ostali prihodi za posebne namjene</v>
      </c>
      <c r="E98" s="96">
        <v>3721</v>
      </c>
      <c r="F98" s="91" t="str">
        <f t="shared" si="14"/>
        <v>Naknade građanima i kućanstvima u novcu</v>
      </c>
      <c r="G98" s="129" t="s">
        <v>177</v>
      </c>
      <c r="H98" s="91" t="str">
        <f t="shared" si="15"/>
        <v>REDOVNA DJELATNOST SVEUČILIŠTA U OSIJEKU (IZ EVIDENCIJSKIH PRIHODA)</v>
      </c>
      <c r="I98" s="91" t="str">
        <f t="shared" si="16"/>
        <v>0942</v>
      </c>
      <c r="J98" s="128">
        <v>5972.5263786581718</v>
      </c>
      <c r="K98" s="128">
        <v>5972.5263786581718</v>
      </c>
      <c r="L98" s="128">
        <v>5972.5263786581718</v>
      </c>
      <c r="M98" s="95"/>
      <c r="O98" s="86" t="str">
        <f t="shared" si="17"/>
        <v>372</v>
      </c>
      <c r="P98" s="86" t="str">
        <f t="shared" si="18"/>
        <v>37</v>
      </c>
      <c r="Q98" s="86" t="str">
        <f t="shared" si="19"/>
        <v>43</v>
      </c>
      <c r="R98" s="86" t="str">
        <f t="shared" si="20"/>
        <v>94</v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>08006</v>
      </c>
      <c r="B99" s="90" t="str">
        <f>IF(C99="","",VLOOKUP('OPĆI DIO'!$C$3,'OPĆI DIO'!$L$6:$U$138,9,FALSE))</f>
        <v>Sveučilišta i veleučilišta u Republici Hrvatskoj</v>
      </c>
      <c r="C99" s="96">
        <v>52</v>
      </c>
      <c r="D99" s="91" t="str">
        <f t="shared" si="13"/>
        <v>Ostale pomoći</v>
      </c>
      <c r="E99" s="96">
        <v>3721</v>
      </c>
      <c r="F99" s="91" t="str">
        <f t="shared" si="14"/>
        <v>Naknade građanima i kućanstvima u novcu</v>
      </c>
      <c r="G99" s="129" t="s">
        <v>177</v>
      </c>
      <c r="H99" s="91" t="str">
        <f t="shared" ref="H99:H131" si="25">IFERROR(VLOOKUP(G100,$AB$6:$AC$327,2,FALSE),"")</f>
        <v>EU PROJEKTI SVEUČILIŠTA U OSIJEKU (IZ EVIDENCIJSKIH PRIHODA)</v>
      </c>
      <c r="I99" s="91" t="str">
        <f t="shared" ref="I99:I131" si="26">IFERROR(VLOOKUP(G100,$AB$6:$AF$327,3,FALSE),"")</f>
        <v>0942</v>
      </c>
      <c r="J99" s="128">
        <v>622470</v>
      </c>
      <c r="K99" s="128">
        <v>622470</v>
      </c>
      <c r="L99" s="128">
        <v>622470</v>
      </c>
      <c r="M99" s="95"/>
      <c r="O99" s="86" t="str">
        <f t="shared" si="17"/>
        <v>372</v>
      </c>
      <c r="P99" s="86" t="str">
        <f t="shared" si="18"/>
        <v>37</v>
      </c>
      <c r="Q99" s="86" t="str">
        <f t="shared" si="19"/>
        <v>52</v>
      </c>
      <c r="R99" s="86" t="str">
        <f t="shared" si="20"/>
        <v>94</v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>08006</v>
      </c>
      <c r="B100" s="90" t="str">
        <f>IF(C100="","",VLOOKUP('OPĆI DIO'!$C$3,'OPĆI DIO'!$L$6:$U$138,9,FALSE))</f>
        <v>Sveučilišta i veleučilišta u Republici Hrvatskoj</v>
      </c>
      <c r="C100" s="96">
        <v>52</v>
      </c>
      <c r="D100" s="91" t="str">
        <f t="shared" si="13"/>
        <v>Ostale pomoći</v>
      </c>
      <c r="E100" s="96">
        <v>3111</v>
      </c>
      <c r="F100" s="91" t="str">
        <f t="shared" si="14"/>
        <v>Plaće za redovan rad</v>
      </c>
      <c r="G100" s="129" t="s">
        <v>92</v>
      </c>
      <c r="H100" s="91" t="str">
        <f t="shared" si="25"/>
        <v>EU PROJEKTI SVEUČILIŠTA U OSIJEKU (IZ EVIDENCIJSKIH PRIHODA)</v>
      </c>
      <c r="I100" s="91" t="str">
        <f t="shared" si="26"/>
        <v>0942</v>
      </c>
      <c r="J100" s="128">
        <v>79207</v>
      </c>
      <c r="K100" s="128">
        <v>53095</v>
      </c>
      <c r="L100" s="128">
        <v>21044</v>
      </c>
      <c r="M100" s="95"/>
      <c r="O100" s="86" t="str">
        <f t="shared" si="17"/>
        <v>311</v>
      </c>
      <c r="P100" s="86" t="str">
        <f t="shared" si="18"/>
        <v>31</v>
      </c>
      <c r="Q100" s="86" t="str">
        <f t="shared" si="19"/>
        <v>52</v>
      </c>
      <c r="R100" s="86" t="str">
        <f t="shared" si="20"/>
        <v>94</v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>08006</v>
      </c>
      <c r="B101" s="90" t="str">
        <f>IF(C101="","",VLOOKUP('OPĆI DIO'!$C$3,'OPĆI DIO'!$L$6:$U$138,9,FALSE))</f>
        <v>Sveučilišta i veleučilišta u Republici Hrvatskoj</v>
      </c>
      <c r="C101" s="96">
        <v>52</v>
      </c>
      <c r="D101" s="91" t="str">
        <f t="shared" si="13"/>
        <v>Ostale pomoći</v>
      </c>
      <c r="E101" s="96">
        <v>3121</v>
      </c>
      <c r="F101" s="91" t="str">
        <f t="shared" si="14"/>
        <v>Ostali rashodi za zaposlene</v>
      </c>
      <c r="G101" s="129" t="s">
        <v>92</v>
      </c>
      <c r="H101" s="91" t="str">
        <f t="shared" si="25"/>
        <v>EU PROJEKTI SVEUČILIŠTA U OSIJEKU (IZ EVIDENCIJSKIH PRIHODA)</v>
      </c>
      <c r="I101" s="91" t="str">
        <f t="shared" si="26"/>
        <v>0942</v>
      </c>
      <c r="J101" s="128">
        <v>0</v>
      </c>
      <c r="K101" s="128">
        <v>0</v>
      </c>
      <c r="L101" s="128">
        <v>0</v>
      </c>
      <c r="M101" s="95"/>
      <c r="O101" s="86" t="str">
        <f t="shared" si="17"/>
        <v>312</v>
      </c>
      <c r="P101" s="86" t="str">
        <f t="shared" si="18"/>
        <v>31</v>
      </c>
      <c r="Q101" s="86" t="str">
        <f t="shared" si="19"/>
        <v>52</v>
      </c>
      <c r="R101" s="86" t="str">
        <f t="shared" si="20"/>
        <v>94</v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>08006</v>
      </c>
      <c r="B102" s="90" t="str">
        <f>IF(C102="","",VLOOKUP('OPĆI DIO'!$C$3,'OPĆI DIO'!$L$6:$U$138,9,FALSE))</f>
        <v>Sveučilišta i veleučilišta u Republici Hrvatskoj</v>
      </c>
      <c r="C102" s="96">
        <v>52</v>
      </c>
      <c r="D102" s="91" t="str">
        <f t="shared" si="13"/>
        <v>Ostale pomoći</v>
      </c>
      <c r="E102" s="96">
        <v>3132</v>
      </c>
      <c r="F102" s="91" t="str">
        <f t="shared" si="14"/>
        <v>Doprinosi za obvezno zdravstveno osiguranje</v>
      </c>
      <c r="G102" s="129" t="s">
        <v>92</v>
      </c>
      <c r="H102" s="91" t="str">
        <f t="shared" si="25"/>
        <v>EU PROJEKTI SVEUČILIŠTA U OSIJEKU (IZ EVIDENCIJSKIH PRIHODA)</v>
      </c>
      <c r="I102" s="91" t="str">
        <f t="shared" si="26"/>
        <v>0942</v>
      </c>
      <c r="J102" s="128">
        <v>13070</v>
      </c>
      <c r="K102" s="128">
        <v>8761</v>
      </c>
      <c r="L102" s="128">
        <v>3472</v>
      </c>
      <c r="M102" s="95"/>
      <c r="O102" s="86" t="str">
        <f t="shared" si="17"/>
        <v>313</v>
      </c>
      <c r="P102" s="86" t="str">
        <f t="shared" si="18"/>
        <v>31</v>
      </c>
      <c r="Q102" s="86" t="str">
        <f t="shared" si="19"/>
        <v>52</v>
      </c>
      <c r="R102" s="86" t="str">
        <f t="shared" si="20"/>
        <v>94</v>
      </c>
      <c r="V102" s="86">
        <v>4233</v>
      </c>
      <c r="W102" s="86" t="s">
        <v>170</v>
      </c>
      <c r="Y102" s="304" t="str">
        <f t="shared" ref="Y102:Y129" si="27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>08006</v>
      </c>
      <c r="B103" s="90" t="str">
        <f>IF(C103="","",VLOOKUP('OPĆI DIO'!$C$3,'OPĆI DIO'!$L$6:$U$138,9,FALSE))</f>
        <v>Sveučilišta i veleučilišta u Republici Hrvatskoj</v>
      </c>
      <c r="C103" s="96">
        <v>52</v>
      </c>
      <c r="D103" s="91" t="str">
        <f t="shared" si="13"/>
        <v>Ostale pomoći</v>
      </c>
      <c r="E103" s="96">
        <v>3211</v>
      </c>
      <c r="F103" s="91" t="str">
        <f t="shared" si="14"/>
        <v>Službena putovanja</v>
      </c>
      <c r="G103" s="129" t="s">
        <v>92</v>
      </c>
      <c r="H103" s="91" t="str">
        <f t="shared" si="25"/>
        <v>EU PROJEKTI SVEUČILIŠTA U OSIJEKU (IZ EVIDENCIJSKIH PRIHODA)</v>
      </c>
      <c r="I103" s="91" t="str">
        <f t="shared" si="26"/>
        <v>0942</v>
      </c>
      <c r="J103" s="128">
        <f>4393+9291+1053</f>
        <v>14737</v>
      </c>
      <c r="K103" s="128">
        <f>6800+9291+1053</f>
        <v>17144</v>
      </c>
      <c r="L103" s="128">
        <f>6800+1053</f>
        <v>7853</v>
      </c>
      <c r="M103" s="95"/>
      <c r="O103" s="86" t="str">
        <f t="shared" si="17"/>
        <v>321</v>
      </c>
      <c r="P103" s="86" t="str">
        <f t="shared" si="18"/>
        <v>32</v>
      </c>
      <c r="Q103" s="86" t="str">
        <f t="shared" si="19"/>
        <v>52</v>
      </c>
      <c r="R103" s="86" t="str">
        <f t="shared" si="20"/>
        <v>94</v>
      </c>
      <c r="V103" s="86">
        <v>4241</v>
      </c>
      <c r="W103" s="86" t="s">
        <v>107</v>
      </c>
      <c r="Y103" s="304" t="str">
        <f t="shared" si="27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>08006</v>
      </c>
      <c r="B104" s="90" t="str">
        <f>IF(C104="","",VLOOKUP('OPĆI DIO'!$C$3,'OPĆI DIO'!$L$6:$U$138,9,FALSE))</f>
        <v>Sveučilišta i veleučilišta u Republici Hrvatskoj</v>
      </c>
      <c r="C104" s="96">
        <v>52</v>
      </c>
      <c r="D104" s="91" t="str">
        <f t="shared" si="13"/>
        <v>Ostale pomoći</v>
      </c>
      <c r="E104" s="96">
        <v>3213</v>
      </c>
      <c r="F104" s="91" t="str">
        <f t="shared" si="14"/>
        <v>Stručno usavršavanje zaposlenika</v>
      </c>
      <c r="G104" s="129" t="s">
        <v>92</v>
      </c>
      <c r="H104" s="91" t="str">
        <f t="shared" si="25"/>
        <v>EU PROJEKTI SVEUČILIŠTA U OSIJEKU (IZ EVIDENCIJSKIH PRIHODA)</v>
      </c>
      <c r="I104" s="91" t="str">
        <f t="shared" si="26"/>
        <v>0942</v>
      </c>
      <c r="J104" s="128">
        <v>929</v>
      </c>
      <c r="K104" s="128">
        <v>0</v>
      </c>
      <c r="L104" s="128">
        <v>0</v>
      </c>
      <c r="M104" s="95"/>
      <c r="O104" s="86" t="str">
        <f t="shared" si="17"/>
        <v>321</v>
      </c>
      <c r="P104" s="86" t="str">
        <f t="shared" si="18"/>
        <v>32</v>
      </c>
      <c r="Q104" s="86" t="str">
        <f t="shared" si="19"/>
        <v>52</v>
      </c>
      <c r="R104" s="86" t="str">
        <f t="shared" si="20"/>
        <v>94</v>
      </c>
      <c r="V104" s="86">
        <v>4242</v>
      </c>
      <c r="W104" s="86" t="s">
        <v>139</v>
      </c>
      <c r="Y104" s="304" t="str">
        <f t="shared" si="27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>08006</v>
      </c>
      <c r="B105" s="90" t="str">
        <f>IF(C105="","",VLOOKUP('OPĆI DIO'!$C$3,'OPĆI DIO'!$L$6:$U$138,9,FALSE))</f>
        <v>Sveučilišta i veleučilišta u Republici Hrvatskoj</v>
      </c>
      <c r="C105" s="96">
        <v>52</v>
      </c>
      <c r="D105" s="91" t="str">
        <f t="shared" si="13"/>
        <v>Ostale pomoći</v>
      </c>
      <c r="E105" s="96">
        <v>3221</v>
      </c>
      <c r="F105" s="91" t="str">
        <f t="shared" si="14"/>
        <v>Uredski materijal i ostali materijalni rashodi</v>
      </c>
      <c r="G105" s="129" t="s">
        <v>92</v>
      </c>
      <c r="H105" s="91" t="str">
        <f t="shared" si="25"/>
        <v>EU PROJEKTI SVEUČILIŠTA U OSIJEKU (IZ EVIDENCIJSKIH PRIHODA)</v>
      </c>
      <c r="I105" s="91" t="str">
        <f t="shared" si="26"/>
        <v>0942</v>
      </c>
      <c r="J105" s="128">
        <v>0</v>
      </c>
      <c r="K105" s="128">
        <v>0</v>
      </c>
      <c r="L105" s="128">
        <v>0</v>
      </c>
      <c r="M105" s="95"/>
      <c r="O105" s="86" t="str">
        <f t="shared" si="17"/>
        <v>322</v>
      </c>
      <c r="P105" s="86" t="str">
        <f t="shared" si="18"/>
        <v>32</v>
      </c>
      <c r="Q105" s="86" t="str">
        <f t="shared" si="19"/>
        <v>52</v>
      </c>
      <c r="R105" s="86" t="str">
        <f t="shared" si="20"/>
        <v>94</v>
      </c>
      <c r="V105" s="86">
        <v>4244</v>
      </c>
      <c r="W105" s="86" t="s">
        <v>171</v>
      </c>
      <c r="Y105" s="304" t="str">
        <f t="shared" si="27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>08006</v>
      </c>
      <c r="B106" s="90" t="str">
        <f>IF(C106="","",VLOOKUP('OPĆI DIO'!$C$3,'OPĆI DIO'!$L$6:$U$138,9,FALSE))</f>
        <v>Sveučilišta i veleučilišta u Republici Hrvatskoj</v>
      </c>
      <c r="C106" s="96">
        <v>52</v>
      </c>
      <c r="D106" s="91" t="str">
        <f t="shared" si="13"/>
        <v>Ostale pomoći</v>
      </c>
      <c r="E106" s="96">
        <v>3222</v>
      </c>
      <c r="F106" s="91" t="str">
        <f t="shared" si="14"/>
        <v>Materijal i sirovine</v>
      </c>
      <c r="G106" s="129" t="s">
        <v>92</v>
      </c>
      <c r="H106" s="91" t="str">
        <f t="shared" si="25"/>
        <v>EU PROJEKTI SVEUČILIŠTA U OSIJEKU (IZ EVIDENCIJSKIH PRIHODA)</v>
      </c>
      <c r="I106" s="91" t="str">
        <f t="shared" si="26"/>
        <v>0942</v>
      </c>
      <c r="J106" s="128">
        <v>13964</v>
      </c>
      <c r="K106" s="128">
        <v>7750</v>
      </c>
      <c r="L106" s="128">
        <v>7418</v>
      </c>
      <c r="M106" s="95"/>
      <c r="O106" s="86" t="str">
        <f t="shared" si="17"/>
        <v>322</v>
      </c>
      <c r="P106" s="86" t="str">
        <f t="shared" si="18"/>
        <v>32</v>
      </c>
      <c r="Q106" s="86" t="str">
        <f t="shared" si="19"/>
        <v>52</v>
      </c>
      <c r="R106" s="86" t="str">
        <f t="shared" si="20"/>
        <v>94</v>
      </c>
      <c r="V106" s="86">
        <v>4251</v>
      </c>
      <c r="W106" s="86" t="s">
        <v>163</v>
      </c>
      <c r="Y106" s="304" t="str">
        <f t="shared" si="27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>08006</v>
      </c>
      <c r="B107" s="90" t="str">
        <f>IF(C107="","",VLOOKUP('OPĆI DIO'!$C$3,'OPĆI DIO'!$L$6:$U$138,9,FALSE))</f>
        <v>Sveučilišta i veleučilišta u Republici Hrvatskoj</v>
      </c>
      <c r="C107" s="96">
        <v>52</v>
      </c>
      <c r="D107" s="91" t="str">
        <f t="shared" si="13"/>
        <v>Ostale pomoći</v>
      </c>
      <c r="E107" s="96">
        <v>3223</v>
      </c>
      <c r="F107" s="91" t="str">
        <f t="shared" si="14"/>
        <v>Energija</v>
      </c>
      <c r="G107" s="129" t="s">
        <v>92</v>
      </c>
      <c r="H107" s="91" t="str">
        <f t="shared" si="25"/>
        <v>EU PROJEKTI SVEUČILIŠTA U OSIJEKU (IZ EVIDENCIJSKIH PRIHODA)</v>
      </c>
      <c r="I107" s="91" t="str">
        <f t="shared" si="26"/>
        <v>0942</v>
      </c>
      <c r="J107" s="128">
        <v>0</v>
      </c>
      <c r="K107" s="128">
        <v>0</v>
      </c>
      <c r="L107" s="128">
        <v>0</v>
      </c>
      <c r="M107" s="95"/>
      <c r="O107" s="86" t="str">
        <f t="shared" si="17"/>
        <v>322</v>
      </c>
      <c r="P107" s="86" t="str">
        <f t="shared" si="18"/>
        <v>32</v>
      </c>
      <c r="Q107" s="86" t="str">
        <f t="shared" si="19"/>
        <v>52</v>
      </c>
      <c r="R107" s="86" t="str">
        <f t="shared" si="20"/>
        <v>94</v>
      </c>
      <c r="V107" s="86">
        <v>4252</v>
      </c>
      <c r="W107" s="86" t="s">
        <v>164</v>
      </c>
      <c r="Y107" s="304" t="str">
        <f t="shared" si="27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>08006</v>
      </c>
      <c r="B108" s="90" t="str">
        <f>IF(C108="","",VLOOKUP('OPĆI DIO'!$C$3,'OPĆI DIO'!$L$6:$U$138,9,FALSE))</f>
        <v>Sveučilišta i veleučilišta u Republici Hrvatskoj</v>
      </c>
      <c r="C108" s="96">
        <v>52</v>
      </c>
      <c r="D108" s="91" t="str">
        <f t="shared" si="13"/>
        <v>Ostale pomoći</v>
      </c>
      <c r="E108" s="96">
        <v>3224</v>
      </c>
      <c r="F108" s="91" t="str">
        <f t="shared" si="14"/>
        <v>Materijal i dijelovi za tekuće i investicijsko održavanje</v>
      </c>
      <c r="G108" s="129" t="s">
        <v>92</v>
      </c>
      <c r="H108" s="91" t="str">
        <f t="shared" si="25"/>
        <v>EU PROJEKTI SVEUČILIŠTA U OSIJEKU (IZ EVIDENCIJSKIH PRIHODA)</v>
      </c>
      <c r="I108" s="91" t="str">
        <f t="shared" si="26"/>
        <v>0942</v>
      </c>
      <c r="J108" s="128">
        <v>0</v>
      </c>
      <c r="K108" s="128">
        <v>0</v>
      </c>
      <c r="L108" s="128">
        <v>0</v>
      </c>
      <c r="M108" s="95"/>
      <c r="O108" s="86" t="str">
        <f t="shared" si="17"/>
        <v>322</v>
      </c>
      <c r="P108" s="86" t="str">
        <f t="shared" si="18"/>
        <v>32</v>
      </c>
      <c r="Q108" s="86" t="str">
        <f t="shared" si="19"/>
        <v>52</v>
      </c>
      <c r="R108" s="86" t="str">
        <f t="shared" si="20"/>
        <v>94</v>
      </c>
      <c r="V108" s="86">
        <v>4262</v>
      </c>
      <c r="W108" s="86" t="s">
        <v>108</v>
      </c>
      <c r="Y108" s="304" t="str">
        <f t="shared" si="27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>08006</v>
      </c>
      <c r="B109" s="90" t="str">
        <f>IF(C109="","",VLOOKUP('OPĆI DIO'!$C$3,'OPĆI DIO'!$L$6:$U$138,9,FALSE))</f>
        <v>Sveučilišta i veleučilišta u Republici Hrvatskoj</v>
      </c>
      <c r="C109" s="96">
        <v>52</v>
      </c>
      <c r="D109" s="91" t="str">
        <f t="shared" si="13"/>
        <v>Ostale pomoći</v>
      </c>
      <c r="E109" s="96">
        <v>3227</v>
      </c>
      <c r="F109" s="91" t="str">
        <f t="shared" si="14"/>
        <v>Službena, radna i zaštitna odjeća i obuća</v>
      </c>
      <c r="G109" s="129" t="s">
        <v>92</v>
      </c>
      <c r="H109" s="91" t="str">
        <f t="shared" si="25"/>
        <v>EU PROJEKTI SVEUČILIŠTA U OSIJEKU (IZ EVIDENCIJSKIH PRIHODA)</v>
      </c>
      <c r="I109" s="91" t="str">
        <f t="shared" si="26"/>
        <v>0942</v>
      </c>
      <c r="J109" s="128">
        <v>1327</v>
      </c>
      <c r="K109" s="128">
        <v>1327</v>
      </c>
      <c r="L109" s="128">
        <v>0</v>
      </c>
      <c r="M109" s="95"/>
      <c r="O109" s="86" t="str">
        <f t="shared" si="17"/>
        <v>322</v>
      </c>
      <c r="P109" s="86" t="str">
        <f t="shared" si="18"/>
        <v>32</v>
      </c>
      <c r="Q109" s="86" t="str">
        <f t="shared" si="19"/>
        <v>52</v>
      </c>
      <c r="R109" s="86" t="str">
        <f t="shared" si="20"/>
        <v>94</v>
      </c>
      <c r="V109" s="86">
        <v>4263</v>
      </c>
      <c r="W109" s="86" t="s">
        <v>165</v>
      </c>
      <c r="Y109" s="304" t="str">
        <f t="shared" si="27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>08006</v>
      </c>
      <c r="B110" s="90" t="str">
        <f>IF(C110="","",VLOOKUP('OPĆI DIO'!$C$3,'OPĆI DIO'!$L$6:$U$138,9,FALSE))</f>
        <v>Sveučilišta i veleučilišta u Republici Hrvatskoj</v>
      </c>
      <c r="C110" s="96">
        <v>52</v>
      </c>
      <c r="D110" s="91" t="str">
        <f t="shared" si="13"/>
        <v>Ostale pomoći</v>
      </c>
      <c r="E110" s="96">
        <v>3231</v>
      </c>
      <c r="F110" s="91" t="str">
        <f t="shared" si="14"/>
        <v>Usluge telefona, pošte i prijevoza</v>
      </c>
      <c r="G110" s="129" t="s">
        <v>92</v>
      </c>
      <c r="H110" s="91" t="str">
        <f t="shared" si="25"/>
        <v>EU PROJEKTI SVEUČILIŠTA U OSIJEKU (IZ EVIDENCIJSKIH PRIHODA)</v>
      </c>
      <c r="I110" s="91" t="str">
        <f t="shared" si="26"/>
        <v>0942</v>
      </c>
      <c r="J110" s="128">
        <v>0</v>
      </c>
      <c r="K110" s="128">
        <v>0</v>
      </c>
      <c r="L110" s="128">
        <v>0</v>
      </c>
      <c r="M110" s="95"/>
      <c r="O110" s="86" t="str">
        <f t="shared" si="17"/>
        <v>323</v>
      </c>
      <c r="P110" s="86" t="str">
        <f t="shared" si="18"/>
        <v>32</v>
      </c>
      <c r="Q110" s="86" t="str">
        <f t="shared" si="19"/>
        <v>52</v>
      </c>
      <c r="R110" s="86" t="str">
        <f t="shared" si="20"/>
        <v>94</v>
      </c>
      <c r="V110" s="86">
        <v>4264</v>
      </c>
      <c r="W110" s="86" t="s">
        <v>120</v>
      </c>
      <c r="Y110" s="304" t="str">
        <f t="shared" si="27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>08006</v>
      </c>
      <c r="B111" s="90" t="str">
        <f>IF(C111="","",VLOOKUP('OPĆI DIO'!$C$3,'OPĆI DIO'!$L$6:$U$138,9,FALSE))</f>
        <v>Sveučilišta i veleučilišta u Republici Hrvatskoj</v>
      </c>
      <c r="C111" s="96">
        <v>52</v>
      </c>
      <c r="D111" s="91" t="str">
        <f t="shared" si="13"/>
        <v>Ostale pomoći</v>
      </c>
      <c r="E111" s="96">
        <v>3232</v>
      </c>
      <c r="F111" s="91" t="str">
        <f t="shared" si="14"/>
        <v>Usluge tekućeg i investicijskog održavanja</v>
      </c>
      <c r="G111" s="129" t="s">
        <v>92</v>
      </c>
      <c r="H111" s="91" t="str">
        <f t="shared" si="25"/>
        <v>EU PROJEKTI SVEUČILIŠTA U OSIJEKU (IZ EVIDENCIJSKIH PRIHODA)</v>
      </c>
      <c r="I111" s="91" t="str">
        <f t="shared" si="26"/>
        <v>0942</v>
      </c>
      <c r="J111" s="128">
        <v>0</v>
      </c>
      <c r="K111" s="128">
        <v>0</v>
      </c>
      <c r="L111" s="128">
        <v>0</v>
      </c>
      <c r="M111" s="95"/>
      <c r="O111" s="86" t="str">
        <f t="shared" si="17"/>
        <v>323</v>
      </c>
      <c r="P111" s="86" t="str">
        <f t="shared" si="18"/>
        <v>32</v>
      </c>
      <c r="Q111" s="86" t="str">
        <f t="shared" si="19"/>
        <v>52</v>
      </c>
      <c r="R111" s="86" t="str">
        <f t="shared" si="20"/>
        <v>94</v>
      </c>
      <c r="V111" s="86">
        <v>4312</v>
      </c>
      <c r="W111" s="86" t="s">
        <v>122</v>
      </c>
      <c r="Y111" s="304" t="str">
        <f t="shared" si="27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>08006</v>
      </c>
      <c r="B112" s="90" t="str">
        <f>IF(C112="","",VLOOKUP('OPĆI DIO'!$C$3,'OPĆI DIO'!$L$6:$U$138,9,FALSE))</f>
        <v>Sveučilišta i veleučilišta u Republici Hrvatskoj</v>
      </c>
      <c r="C112" s="96">
        <v>52</v>
      </c>
      <c r="D112" s="91" t="str">
        <f t="shared" si="13"/>
        <v>Ostale pomoći</v>
      </c>
      <c r="E112" s="96">
        <v>3233</v>
      </c>
      <c r="F112" s="91" t="str">
        <f t="shared" si="14"/>
        <v>Usluge promidžbe i informiranja</v>
      </c>
      <c r="G112" s="129" t="s">
        <v>92</v>
      </c>
      <c r="H112" s="91" t="str">
        <f t="shared" si="25"/>
        <v>EU PROJEKTI SVEUČILIŠTA U OSIJEKU (IZ EVIDENCIJSKIH PRIHODA)</v>
      </c>
      <c r="I112" s="91" t="str">
        <f t="shared" si="26"/>
        <v>0942</v>
      </c>
      <c r="J112" s="128">
        <v>4247</v>
      </c>
      <c r="K112" s="128">
        <v>0</v>
      </c>
      <c r="L112" s="128">
        <v>0</v>
      </c>
      <c r="M112" s="95"/>
      <c r="O112" s="86" t="str">
        <f t="shared" si="17"/>
        <v>323</v>
      </c>
      <c r="P112" s="86" t="str">
        <f t="shared" si="18"/>
        <v>32</v>
      </c>
      <c r="Q112" s="86" t="str">
        <f t="shared" si="19"/>
        <v>52</v>
      </c>
      <c r="R112" s="86" t="str">
        <f t="shared" si="20"/>
        <v>94</v>
      </c>
      <c r="V112" s="86">
        <v>4411</v>
      </c>
      <c r="W112" s="86" t="s">
        <v>166</v>
      </c>
      <c r="Y112" s="304" t="str">
        <f t="shared" si="27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>08006</v>
      </c>
      <c r="B113" s="90" t="str">
        <f>IF(C113="","",VLOOKUP('OPĆI DIO'!$C$3,'OPĆI DIO'!$L$6:$U$138,9,FALSE))</f>
        <v>Sveučilišta i veleučilišta u Republici Hrvatskoj</v>
      </c>
      <c r="C113" s="96">
        <v>52</v>
      </c>
      <c r="D113" s="91" t="str">
        <f t="shared" si="13"/>
        <v>Ostale pomoći</v>
      </c>
      <c r="E113" s="96">
        <v>3234</v>
      </c>
      <c r="F113" s="91" t="str">
        <f t="shared" si="14"/>
        <v>Komunalne usluge</v>
      </c>
      <c r="G113" s="129" t="s">
        <v>92</v>
      </c>
      <c r="H113" s="91" t="str">
        <f t="shared" si="25"/>
        <v>EU PROJEKTI SVEUČILIŠTA U OSIJEKU (IZ EVIDENCIJSKIH PRIHODA)</v>
      </c>
      <c r="I113" s="91" t="str">
        <f t="shared" si="26"/>
        <v>0942</v>
      </c>
      <c r="J113" s="128">
        <v>0</v>
      </c>
      <c r="K113" s="128">
        <v>0</v>
      </c>
      <c r="L113" s="128">
        <v>0</v>
      </c>
      <c r="M113" s="95"/>
      <c r="O113" s="86" t="str">
        <f t="shared" si="17"/>
        <v>323</v>
      </c>
      <c r="P113" s="86" t="str">
        <f t="shared" si="18"/>
        <v>32</v>
      </c>
      <c r="Q113" s="86" t="str">
        <f t="shared" si="19"/>
        <v>52</v>
      </c>
      <c r="R113" s="86" t="str">
        <f t="shared" si="20"/>
        <v>94</v>
      </c>
      <c r="V113" s="86">
        <v>4511</v>
      </c>
      <c r="W113" s="86" t="s">
        <v>121</v>
      </c>
      <c r="Y113" s="304" t="str">
        <f t="shared" si="27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>08006</v>
      </c>
      <c r="B114" s="90" t="str">
        <f>IF(C114="","",VLOOKUP('OPĆI DIO'!$C$3,'OPĆI DIO'!$L$6:$U$138,9,FALSE))</f>
        <v>Sveučilišta i veleučilišta u Republici Hrvatskoj</v>
      </c>
      <c r="C114" s="96">
        <v>52</v>
      </c>
      <c r="D114" s="91" t="str">
        <f t="shared" si="13"/>
        <v>Ostale pomoći</v>
      </c>
      <c r="E114" s="96">
        <v>3235</v>
      </c>
      <c r="F114" s="91" t="str">
        <f t="shared" si="14"/>
        <v>Zakupnine i najamnine</v>
      </c>
      <c r="G114" s="129" t="s">
        <v>92</v>
      </c>
      <c r="H114" s="91" t="str">
        <f t="shared" si="25"/>
        <v>EU PROJEKTI SVEUČILIŠTA U OSIJEKU (IZ EVIDENCIJSKIH PRIHODA)</v>
      </c>
      <c r="I114" s="91" t="str">
        <f t="shared" si="26"/>
        <v>0942</v>
      </c>
      <c r="J114" s="128">
        <v>0</v>
      </c>
      <c r="K114" s="128">
        <v>0</v>
      </c>
      <c r="L114" s="128">
        <v>0</v>
      </c>
      <c r="M114" s="95"/>
      <c r="O114" s="86" t="str">
        <f t="shared" si="17"/>
        <v>323</v>
      </c>
      <c r="P114" s="86" t="str">
        <f t="shared" si="18"/>
        <v>32</v>
      </c>
      <c r="Q114" s="86" t="str">
        <f t="shared" si="19"/>
        <v>52</v>
      </c>
      <c r="R114" s="86" t="str">
        <f t="shared" si="20"/>
        <v>94</v>
      </c>
      <c r="V114" s="86">
        <v>4521</v>
      </c>
      <c r="W114" s="86" t="s">
        <v>140</v>
      </c>
      <c r="Y114" s="304" t="str">
        <f t="shared" si="27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>08006</v>
      </c>
      <c r="B115" s="90" t="str">
        <f>IF(C115="","",VLOOKUP('OPĆI DIO'!$C$3,'OPĆI DIO'!$L$6:$U$138,9,FALSE))</f>
        <v>Sveučilišta i veleučilišta u Republici Hrvatskoj</v>
      </c>
      <c r="C115" s="96">
        <v>52</v>
      </c>
      <c r="D115" s="91" t="str">
        <f t="shared" si="13"/>
        <v>Ostale pomoći</v>
      </c>
      <c r="E115" s="96">
        <v>3237</v>
      </c>
      <c r="F115" s="91" t="str">
        <f t="shared" si="14"/>
        <v>Intelektualne i osobne usluge</v>
      </c>
      <c r="G115" s="129" t="s">
        <v>92</v>
      </c>
      <c r="H115" s="91" t="str">
        <f t="shared" si="25"/>
        <v>EU PROJEKTI SVEUČILIŠTA U OSIJEKU (IZ EVIDENCIJSKIH PRIHODA)</v>
      </c>
      <c r="I115" s="91" t="str">
        <f t="shared" si="26"/>
        <v>0942</v>
      </c>
      <c r="J115" s="128">
        <f>1327+2000</f>
        <v>3327</v>
      </c>
      <c r="K115" s="128">
        <f>2000+270</f>
        <v>2270</v>
      </c>
      <c r="L115" s="128">
        <v>2000</v>
      </c>
      <c r="M115" s="95"/>
      <c r="O115" s="86" t="str">
        <f t="shared" si="17"/>
        <v>323</v>
      </c>
      <c r="P115" s="86" t="str">
        <f t="shared" si="18"/>
        <v>32</v>
      </c>
      <c r="Q115" s="86" t="str">
        <f t="shared" si="19"/>
        <v>52</v>
      </c>
      <c r="R115" s="86" t="str">
        <f t="shared" si="20"/>
        <v>94</v>
      </c>
      <c r="V115" s="86">
        <v>4531</v>
      </c>
      <c r="W115" s="86" t="s">
        <v>183</v>
      </c>
      <c r="Y115" s="304" t="str">
        <f t="shared" si="27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>08006</v>
      </c>
      <c r="B116" s="90" t="str">
        <f>IF(C116="","",VLOOKUP('OPĆI DIO'!$C$3,'OPĆI DIO'!$L$6:$U$138,9,FALSE))</f>
        <v>Sveučilišta i veleučilišta u Republici Hrvatskoj</v>
      </c>
      <c r="C116" s="96">
        <v>52</v>
      </c>
      <c r="D116" s="91" t="str">
        <f t="shared" si="13"/>
        <v>Ostale pomoći</v>
      </c>
      <c r="E116" s="96">
        <v>3238</v>
      </c>
      <c r="F116" s="91" t="str">
        <f t="shared" si="14"/>
        <v>Računalne usluge</v>
      </c>
      <c r="G116" s="129" t="s">
        <v>92</v>
      </c>
      <c r="H116" s="91" t="str">
        <f t="shared" si="25"/>
        <v>EU PROJEKTI SVEUČILIŠTA U OSIJEKU (IZ EVIDENCIJSKIH PRIHODA)</v>
      </c>
      <c r="I116" s="91" t="str">
        <f t="shared" si="26"/>
        <v>0942</v>
      </c>
      <c r="J116" s="128">
        <v>0</v>
      </c>
      <c r="K116" s="128">
        <v>0</v>
      </c>
      <c r="L116" s="128">
        <v>0</v>
      </c>
      <c r="M116" s="95"/>
      <c r="O116" s="86" t="str">
        <f t="shared" si="17"/>
        <v>323</v>
      </c>
      <c r="P116" s="86" t="str">
        <f t="shared" si="18"/>
        <v>32</v>
      </c>
      <c r="Q116" s="86" t="str">
        <f t="shared" si="19"/>
        <v>52</v>
      </c>
      <c r="R116" s="86" t="str">
        <f t="shared" si="20"/>
        <v>94</v>
      </c>
      <c r="V116" s="86">
        <v>4541</v>
      </c>
      <c r="W116" s="86" t="s">
        <v>135</v>
      </c>
      <c r="Y116" s="304" t="str">
        <f t="shared" si="27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>08006</v>
      </c>
      <c r="B117" s="90" t="str">
        <f>IF(C117="","",VLOOKUP('OPĆI DIO'!$C$3,'OPĆI DIO'!$L$6:$U$138,9,FALSE))</f>
        <v>Sveučilišta i veleučilišta u Republici Hrvatskoj</v>
      </c>
      <c r="C117" s="96">
        <v>52</v>
      </c>
      <c r="D117" s="91" t="str">
        <f t="shared" si="13"/>
        <v>Ostale pomoći</v>
      </c>
      <c r="E117" s="96">
        <v>3239</v>
      </c>
      <c r="F117" s="91" t="str">
        <f t="shared" si="14"/>
        <v>Ostale usluge</v>
      </c>
      <c r="G117" s="129" t="s">
        <v>92</v>
      </c>
      <c r="H117" s="91" t="str">
        <f t="shared" si="25"/>
        <v>EU PROJEKTI SVEUČILIŠTA U OSIJEKU (IZ EVIDENCIJSKIH PRIHODA)</v>
      </c>
      <c r="I117" s="91" t="str">
        <f t="shared" si="26"/>
        <v>0942</v>
      </c>
      <c r="J117" s="128">
        <f>2513+2389+1460</f>
        <v>6362</v>
      </c>
      <c r="K117" s="128">
        <v>1460</v>
      </c>
      <c r="L117" s="128">
        <v>0</v>
      </c>
      <c r="M117" s="95"/>
      <c r="O117" s="86" t="str">
        <f t="shared" si="17"/>
        <v>323</v>
      </c>
      <c r="P117" s="86" t="str">
        <f t="shared" si="18"/>
        <v>32</v>
      </c>
      <c r="Q117" s="86" t="str">
        <f t="shared" si="19"/>
        <v>52</v>
      </c>
      <c r="R117" s="86" t="str">
        <f t="shared" si="20"/>
        <v>94</v>
      </c>
      <c r="V117" s="86">
        <v>5121</v>
      </c>
      <c r="W117" s="86" t="s">
        <v>191</v>
      </c>
      <c r="Y117" s="304" t="str">
        <f t="shared" si="27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>08006</v>
      </c>
      <c r="B118" s="90" t="str">
        <f>IF(C118="","",VLOOKUP('OPĆI DIO'!$C$3,'OPĆI DIO'!$L$6:$U$138,9,FALSE))</f>
        <v>Sveučilišta i veleučilišta u Republici Hrvatskoj</v>
      </c>
      <c r="C118" s="96">
        <v>52</v>
      </c>
      <c r="D118" s="91" t="str">
        <f t="shared" si="13"/>
        <v>Ostale pomoći</v>
      </c>
      <c r="E118" s="96">
        <v>3241</v>
      </c>
      <c r="F118" s="91" t="str">
        <f t="shared" si="14"/>
        <v>Naknade troškova osobama izvan radnog odnosa</v>
      </c>
      <c r="G118" s="129" t="s">
        <v>92</v>
      </c>
      <c r="H118" s="91" t="str">
        <f t="shared" si="25"/>
        <v>EU PROJEKTI SVEUČILIŠTA U OSIJEKU (IZ EVIDENCIJSKIH PRIHODA)</v>
      </c>
      <c r="I118" s="91" t="str">
        <f t="shared" si="26"/>
        <v>0942</v>
      </c>
      <c r="J118" s="128">
        <v>0</v>
      </c>
      <c r="K118" s="128">
        <v>0</v>
      </c>
      <c r="L118" s="128">
        <v>0</v>
      </c>
      <c r="M118" s="95"/>
      <c r="O118" s="86" t="str">
        <f t="shared" si="17"/>
        <v>324</v>
      </c>
      <c r="P118" s="86" t="str">
        <f t="shared" si="18"/>
        <v>32</v>
      </c>
      <c r="Q118" s="86" t="str">
        <f t="shared" si="19"/>
        <v>52</v>
      </c>
      <c r="R118" s="86" t="str">
        <f t="shared" si="20"/>
        <v>94</v>
      </c>
      <c r="V118" s="86">
        <v>5443</v>
      </c>
      <c r="W118" s="86" t="s">
        <v>167</v>
      </c>
      <c r="Y118" s="304" t="str">
        <f t="shared" si="27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>08006</v>
      </c>
      <c r="B119" s="90" t="str">
        <f>IF(C119="","",VLOOKUP('OPĆI DIO'!$C$3,'OPĆI DIO'!$L$6:$U$138,9,FALSE))</f>
        <v>Sveučilišta i veleučilišta u Republici Hrvatskoj</v>
      </c>
      <c r="C119" s="96">
        <v>52</v>
      </c>
      <c r="D119" s="91" t="str">
        <f t="shared" si="13"/>
        <v>Ostale pomoći</v>
      </c>
      <c r="E119" s="96">
        <v>3292</v>
      </c>
      <c r="F119" s="91" t="str">
        <f t="shared" si="14"/>
        <v>Premije osiguranja</v>
      </c>
      <c r="G119" s="129" t="s">
        <v>92</v>
      </c>
      <c r="H119" s="91" t="str">
        <f t="shared" si="25"/>
        <v>EU PROJEKTI SVEUČILIŠTA U OSIJEKU (IZ EVIDENCIJSKIH PRIHODA)</v>
      </c>
      <c r="I119" s="91" t="str">
        <f t="shared" si="26"/>
        <v>0942</v>
      </c>
      <c r="J119" s="128">
        <v>0</v>
      </c>
      <c r="K119" s="128">
        <v>0</v>
      </c>
      <c r="L119" s="128">
        <v>0</v>
      </c>
      <c r="M119" s="95"/>
      <c r="O119" s="86" t="str">
        <f t="shared" si="17"/>
        <v>329</v>
      </c>
      <c r="P119" s="86" t="str">
        <f t="shared" si="18"/>
        <v>32</v>
      </c>
      <c r="Q119" s="86" t="str">
        <f t="shared" si="19"/>
        <v>52</v>
      </c>
      <c r="R119" s="86" t="str">
        <f t="shared" si="20"/>
        <v>94</v>
      </c>
      <c r="V119" s="86">
        <v>5121</v>
      </c>
      <c r="W119" s="86" t="s">
        <v>640</v>
      </c>
      <c r="Y119" s="304" t="str">
        <f t="shared" si="27"/>
        <v>51</v>
      </c>
      <c r="Z119" s="86" t="str">
        <f t="shared" ref="Z119:Z129" si="28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>08006</v>
      </c>
      <c r="B120" s="90" t="str">
        <f>IF(C120="","",VLOOKUP('OPĆI DIO'!$C$3,'OPĆI DIO'!$L$6:$U$138,9,FALSE))</f>
        <v>Sveučilišta i veleučilišta u Republici Hrvatskoj</v>
      </c>
      <c r="C120" s="96">
        <v>52</v>
      </c>
      <c r="D120" s="91" t="str">
        <f t="shared" si="13"/>
        <v>Ostale pomoći</v>
      </c>
      <c r="E120" s="96">
        <v>3293</v>
      </c>
      <c r="F120" s="91" t="str">
        <f t="shared" si="14"/>
        <v>Reprezentacija</v>
      </c>
      <c r="G120" s="129" t="s">
        <v>92</v>
      </c>
      <c r="H120" s="91" t="str">
        <f t="shared" si="25"/>
        <v>EU PROJEKTI SVEUČILIŠTA U OSIJEKU (IZ EVIDENCIJSKIH PRIHODA)</v>
      </c>
      <c r="I120" s="91" t="str">
        <f t="shared" si="26"/>
        <v>0942</v>
      </c>
      <c r="J120" s="128">
        <v>1593</v>
      </c>
      <c r="K120" s="128">
        <v>0</v>
      </c>
      <c r="L120" s="128">
        <v>0</v>
      </c>
      <c r="M120" s="95"/>
      <c r="O120" s="86" t="str">
        <f t="shared" si="17"/>
        <v>329</v>
      </c>
      <c r="P120" s="86" t="str">
        <f t="shared" si="18"/>
        <v>32</v>
      </c>
      <c r="Q120" s="86" t="str">
        <f t="shared" si="19"/>
        <v>52</v>
      </c>
      <c r="R120" s="86" t="str">
        <f t="shared" si="20"/>
        <v>94</v>
      </c>
      <c r="V120" s="86">
        <v>5122</v>
      </c>
      <c r="W120" s="86" t="s">
        <v>641</v>
      </c>
      <c r="Y120" s="304" t="str">
        <f t="shared" si="27"/>
        <v>51</v>
      </c>
      <c r="Z120" s="86" t="str">
        <f t="shared" si="28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>08006</v>
      </c>
      <c r="B121" s="90" t="str">
        <f>IF(C121="","",VLOOKUP('OPĆI DIO'!$C$3,'OPĆI DIO'!$L$6:$U$138,9,FALSE))</f>
        <v>Sveučilišta i veleučilišta u Republici Hrvatskoj</v>
      </c>
      <c r="C121" s="96">
        <v>52</v>
      </c>
      <c r="D121" s="91" t="str">
        <f t="shared" si="13"/>
        <v>Ostale pomoći</v>
      </c>
      <c r="E121" s="96">
        <v>3294</v>
      </c>
      <c r="F121" s="91" t="str">
        <f t="shared" si="14"/>
        <v>Članarine i norme</v>
      </c>
      <c r="G121" s="129" t="s">
        <v>92</v>
      </c>
      <c r="H121" s="91" t="str">
        <f t="shared" si="25"/>
        <v>EU PROJEKTI SVEUČILIŠTA U OSIJEKU (IZ EVIDENCIJSKIH PRIHODA)</v>
      </c>
      <c r="I121" s="91" t="str">
        <f t="shared" si="26"/>
        <v>0942</v>
      </c>
      <c r="J121" s="128">
        <v>0</v>
      </c>
      <c r="K121" s="128">
        <v>0</v>
      </c>
      <c r="L121" s="128">
        <v>0</v>
      </c>
      <c r="M121" s="95"/>
      <c r="O121" s="86" t="str">
        <f t="shared" si="17"/>
        <v>329</v>
      </c>
      <c r="P121" s="86" t="str">
        <f t="shared" si="18"/>
        <v>32</v>
      </c>
      <c r="Q121" s="86" t="str">
        <f t="shared" si="19"/>
        <v>52</v>
      </c>
      <c r="R121" s="86" t="str">
        <f t="shared" si="20"/>
        <v>94</v>
      </c>
      <c r="V121" s="86">
        <v>5141</v>
      </c>
      <c r="W121" s="86" t="s">
        <v>642</v>
      </c>
      <c r="Y121" s="304" t="str">
        <f t="shared" si="27"/>
        <v>51</v>
      </c>
      <c r="Z121" s="86" t="str">
        <f t="shared" si="28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>08006</v>
      </c>
      <c r="B122" s="90" t="str">
        <f>IF(C122="","",VLOOKUP('OPĆI DIO'!$C$3,'OPĆI DIO'!$L$6:$U$138,9,FALSE))</f>
        <v>Sveučilišta i veleučilišta u Republici Hrvatskoj</v>
      </c>
      <c r="C122" s="96">
        <v>52</v>
      </c>
      <c r="D122" s="91" t="str">
        <f t="shared" si="13"/>
        <v>Ostale pomoći</v>
      </c>
      <c r="E122" s="96">
        <v>3295</v>
      </c>
      <c r="F122" s="91" t="str">
        <f t="shared" si="14"/>
        <v>Pristojbe i naknade</v>
      </c>
      <c r="G122" s="129" t="s">
        <v>92</v>
      </c>
      <c r="H122" s="91" t="str">
        <f t="shared" si="25"/>
        <v>EU PROJEKTI SVEUČILIŠTA U OSIJEKU (IZ EVIDENCIJSKIH PRIHODA)</v>
      </c>
      <c r="I122" s="91" t="str">
        <f t="shared" si="26"/>
        <v>0942</v>
      </c>
      <c r="J122" s="128">
        <v>0</v>
      </c>
      <c r="K122" s="128">
        <v>0</v>
      </c>
      <c r="L122" s="128">
        <v>0</v>
      </c>
      <c r="M122" s="95"/>
      <c r="O122" s="86" t="str">
        <f t="shared" si="17"/>
        <v>329</v>
      </c>
      <c r="P122" s="86" t="str">
        <f t="shared" si="18"/>
        <v>32</v>
      </c>
      <c r="Q122" s="86" t="str">
        <f t="shared" si="19"/>
        <v>52</v>
      </c>
      <c r="R122" s="86" t="str">
        <f t="shared" si="20"/>
        <v>94</v>
      </c>
      <c r="V122" s="86">
        <v>5181</v>
      </c>
      <c r="W122" s="86" t="s">
        <v>643</v>
      </c>
      <c r="Y122" s="304" t="str">
        <f t="shared" si="27"/>
        <v>51</v>
      </c>
      <c r="Z122" s="86" t="str">
        <f t="shared" si="28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>08006</v>
      </c>
      <c r="B123" s="90" t="str">
        <f>IF(C123="","",VLOOKUP('OPĆI DIO'!$C$3,'OPĆI DIO'!$L$6:$U$138,9,FALSE))</f>
        <v>Sveučilišta i veleučilišta u Republici Hrvatskoj</v>
      </c>
      <c r="C123" s="96">
        <v>52</v>
      </c>
      <c r="D123" s="91" t="str">
        <f t="shared" si="13"/>
        <v>Ostale pomoći</v>
      </c>
      <c r="E123" s="96">
        <v>3299</v>
      </c>
      <c r="F123" s="91" t="str">
        <f t="shared" si="14"/>
        <v>Ostali nespomenuti rashodi poslovanja</v>
      </c>
      <c r="G123" s="129" t="s">
        <v>92</v>
      </c>
      <c r="H123" s="91" t="str">
        <f t="shared" si="25"/>
        <v>EU PROJEKTI SVEUČILIŠTA U OSIJEKU (IZ EVIDENCIJSKIH PRIHODA)</v>
      </c>
      <c r="I123" s="91" t="str">
        <f t="shared" si="26"/>
        <v>0942</v>
      </c>
      <c r="J123" s="128">
        <v>0</v>
      </c>
      <c r="K123" s="128">
        <v>0</v>
      </c>
      <c r="L123" s="128">
        <v>0</v>
      </c>
      <c r="M123" s="95"/>
      <c r="O123" s="86" t="str">
        <f t="shared" si="17"/>
        <v>329</v>
      </c>
      <c r="P123" s="86" t="str">
        <f t="shared" si="18"/>
        <v>32</v>
      </c>
      <c r="Q123" s="86" t="str">
        <f t="shared" si="19"/>
        <v>52</v>
      </c>
      <c r="R123" s="86" t="str">
        <f t="shared" si="20"/>
        <v>94</v>
      </c>
      <c r="V123" s="86">
        <v>5183</v>
      </c>
      <c r="W123" s="86" t="s">
        <v>644</v>
      </c>
      <c r="Y123" s="304" t="str">
        <f t="shared" si="27"/>
        <v>51</v>
      </c>
      <c r="Z123" s="86" t="str">
        <f t="shared" si="28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>08006</v>
      </c>
      <c r="B124" s="90" t="str">
        <f>IF(C124="","",VLOOKUP('OPĆI DIO'!$C$3,'OPĆI DIO'!$L$6:$U$138,9,FALSE))</f>
        <v>Sveučilišta i veleučilišta u Republici Hrvatskoj</v>
      </c>
      <c r="C124" s="96">
        <v>52</v>
      </c>
      <c r="D124" s="91" t="str">
        <f t="shared" si="13"/>
        <v>Ostale pomoći</v>
      </c>
      <c r="E124" s="96">
        <v>3431</v>
      </c>
      <c r="F124" s="91" t="str">
        <f t="shared" si="14"/>
        <v>Bankarske usluge i usluge platnog prometa</v>
      </c>
      <c r="G124" s="129" t="s">
        <v>92</v>
      </c>
      <c r="H124" s="91" t="str">
        <f t="shared" si="25"/>
        <v>EU PROJEKTI SVEUČILIŠTA U OSIJEKU (IZ EVIDENCIJSKIH PRIHODA)</v>
      </c>
      <c r="I124" s="91" t="str">
        <f t="shared" si="26"/>
        <v>0942</v>
      </c>
      <c r="J124" s="128">
        <v>0</v>
      </c>
      <c r="K124" s="128">
        <v>0</v>
      </c>
      <c r="L124" s="128">
        <v>0</v>
      </c>
      <c r="M124" s="95"/>
      <c r="O124" s="86" t="str">
        <f t="shared" si="17"/>
        <v>343</v>
      </c>
      <c r="P124" s="86" t="str">
        <f t="shared" si="18"/>
        <v>34</v>
      </c>
      <c r="Q124" s="86" t="str">
        <f t="shared" si="19"/>
        <v>52</v>
      </c>
      <c r="R124" s="86" t="str">
        <f t="shared" si="20"/>
        <v>94</v>
      </c>
      <c r="V124" s="86">
        <v>5422</v>
      </c>
      <c r="W124" s="86" t="s">
        <v>645</v>
      </c>
      <c r="Y124" s="304" t="str">
        <f t="shared" si="27"/>
        <v>54</v>
      </c>
      <c r="Z124" s="86" t="str">
        <f t="shared" si="28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>08006</v>
      </c>
      <c r="B125" s="90" t="str">
        <f>IF(C125="","",VLOOKUP('OPĆI DIO'!$C$3,'OPĆI DIO'!$L$6:$U$138,9,FALSE))</f>
        <v>Sveučilišta i veleučilišta u Republici Hrvatskoj</v>
      </c>
      <c r="C125" s="96">
        <v>52</v>
      </c>
      <c r="D125" s="91" t="str">
        <f t="shared" si="13"/>
        <v>Ostale pomoći</v>
      </c>
      <c r="E125" s="96">
        <v>3721</v>
      </c>
      <c r="F125" s="91" t="str">
        <f t="shared" si="14"/>
        <v>Naknade građanima i kućanstvima u novcu</v>
      </c>
      <c r="G125" s="129" t="s">
        <v>92</v>
      </c>
      <c r="H125" s="91" t="str">
        <f t="shared" si="25"/>
        <v>EU PROJEKTI SVEUČILIŠTA U OSIJEKU (IZ EVIDENCIJSKIH PRIHODA)</v>
      </c>
      <c r="I125" s="91" t="str">
        <f t="shared" si="26"/>
        <v>0942</v>
      </c>
      <c r="J125" s="128">
        <v>0</v>
      </c>
      <c r="K125" s="128">
        <v>0</v>
      </c>
      <c r="L125" s="128">
        <v>0</v>
      </c>
      <c r="M125" s="95"/>
      <c r="O125" s="86" t="str">
        <f t="shared" si="17"/>
        <v>372</v>
      </c>
      <c r="P125" s="86" t="str">
        <f t="shared" si="18"/>
        <v>37</v>
      </c>
      <c r="Q125" s="86" t="str">
        <f t="shared" si="19"/>
        <v>52</v>
      </c>
      <c r="R125" s="86" t="str">
        <f t="shared" si="20"/>
        <v>94</v>
      </c>
      <c r="V125" s="86">
        <v>5431</v>
      </c>
      <c r="W125" s="86" t="s">
        <v>265</v>
      </c>
      <c r="Y125" s="304" t="str">
        <f t="shared" si="27"/>
        <v>54</v>
      </c>
      <c r="Z125" s="86" t="str">
        <f t="shared" si="28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>08006</v>
      </c>
      <c r="B126" s="90" t="str">
        <f>IF(C126="","",VLOOKUP('OPĆI DIO'!$C$3,'OPĆI DIO'!$L$6:$U$138,9,FALSE))</f>
        <v>Sveučilišta i veleučilišta u Republici Hrvatskoj</v>
      </c>
      <c r="C126" s="96">
        <v>52</v>
      </c>
      <c r="D126" s="91" t="str">
        <f t="shared" si="13"/>
        <v>Ostale pomoći</v>
      </c>
      <c r="E126" s="96">
        <v>4241</v>
      </c>
      <c r="F126" s="91" t="str">
        <f t="shared" si="14"/>
        <v>Knjige</v>
      </c>
      <c r="G126" s="129" t="s">
        <v>92</v>
      </c>
      <c r="H126" s="91" t="str">
        <f t="shared" si="25"/>
        <v/>
      </c>
      <c r="I126" s="91" t="str">
        <f t="shared" si="26"/>
        <v/>
      </c>
      <c r="J126" s="128"/>
      <c r="K126" s="128"/>
      <c r="L126" s="128"/>
      <c r="M126" s="95"/>
      <c r="O126" s="86" t="str">
        <f t="shared" si="17"/>
        <v>424</v>
      </c>
      <c r="P126" s="86" t="str">
        <f t="shared" si="18"/>
        <v>42</v>
      </c>
      <c r="Q126" s="86" t="str">
        <f t="shared" si="19"/>
        <v>52</v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7"/>
        <v>54</v>
      </c>
      <c r="Z126" s="86" t="str">
        <f t="shared" si="28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25"/>
        <v/>
      </c>
      <c r="I127" s="91" t="str">
        <f t="shared" si="2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7"/>
        <v>54</v>
      </c>
      <c r="Z127" s="86" t="str">
        <f t="shared" si="28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25"/>
        <v/>
      </c>
      <c r="I128" s="91" t="str">
        <f t="shared" si="2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7"/>
        <v>54</v>
      </c>
      <c r="Z128" s="86" t="str">
        <f t="shared" si="28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25"/>
        <v/>
      </c>
      <c r="I129" s="91" t="str">
        <f t="shared" si="2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7"/>
        <v>54</v>
      </c>
      <c r="Z129" s="86" t="str">
        <f t="shared" si="28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25"/>
        <v/>
      </c>
      <c r="I130" s="91" t="str">
        <f t="shared" si="2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9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25"/>
        <v/>
      </c>
      <c r="I131" s="91" t="str">
        <f t="shared" si="2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9"/>
        <v/>
      </c>
      <c r="E132" s="96"/>
      <c r="F132" s="91" t="str">
        <f t="shared" ref="F132:F195" si="30">IFERROR(VLOOKUP(E132,$V$5:$X$129,2,FALSE),"")</f>
        <v/>
      </c>
      <c r="G132" s="129"/>
      <c r="H132" s="91" t="str">
        <f>IFERROR(VLOOKUP(#REF!,$AB$6:$AC$327,2,FALSE),"")</f>
        <v/>
      </c>
      <c r="I132" s="91" t="str">
        <f>IFERROR(VLOOKUP(#REF!,$AB$6:$AF$327,3,FALSE),"")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9"/>
        <v/>
      </c>
      <c r="E133" s="96"/>
      <c r="F133" s="91" t="str">
        <f t="shared" si="30"/>
        <v/>
      </c>
      <c r="G133" s="129"/>
      <c r="H133" s="91" t="str">
        <f t="shared" ref="H133:H195" si="35">IFERROR(VLOOKUP(G133,$AB$6:$AC$327,2,FALSE),"")</f>
        <v/>
      </c>
      <c r="I133" s="91" t="str">
        <f t="shared" ref="I133:I195" si="36">IFERROR(VLOOKUP(G133,$AB$6:$AF$327,3,FALSE),"")</f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9"/>
        <v/>
      </c>
      <c r="E134" s="96"/>
      <c r="F134" s="91" t="str">
        <f t="shared" si="30"/>
        <v/>
      </c>
      <c r="G134" s="129"/>
      <c r="H134" s="91" t="str">
        <f t="shared" si="35"/>
        <v/>
      </c>
      <c r="I134" s="91" t="str">
        <f t="shared" si="36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9"/>
        <v/>
      </c>
      <c r="E135" s="96"/>
      <c r="F135" s="91" t="str">
        <f t="shared" si="30"/>
        <v/>
      </c>
      <c r="G135" s="129"/>
      <c r="H135" s="91" t="str">
        <f t="shared" si="35"/>
        <v/>
      </c>
      <c r="I135" s="91" t="str">
        <f t="shared" si="36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9"/>
        <v/>
      </c>
      <c r="E136" s="96"/>
      <c r="F136" s="91" t="str">
        <f t="shared" si="30"/>
        <v/>
      </c>
      <c r="G136" s="129"/>
      <c r="H136" s="91" t="str">
        <f t="shared" si="35"/>
        <v/>
      </c>
      <c r="I136" s="91" t="str">
        <f t="shared" si="36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9"/>
        <v/>
      </c>
      <c r="E137" s="96"/>
      <c r="F137" s="91" t="str">
        <f t="shared" si="30"/>
        <v/>
      </c>
      <c r="G137" s="129"/>
      <c r="H137" s="91" t="str">
        <f t="shared" si="35"/>
        <v/>
      </c>
      <c r="I137" s="91" t="str">
        <f t="shared" si="36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9"/>
        <v/>
      </c>
      <c r="E138" s="96"/>
      <c r="F138" s="91" t="str">
        <f t="shared" si="30"/>
        <v/>
      </c>
      <c r="G138" s="129"/>
      <c r="H138" s="91" t="str">
        <f t="shared" si="35"/>
        <v/>
      </c>
      <c r="I138" s="91" t="str">
        <f t="shared" si="36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9"/>
        <v/>
      </c>
      <c r="E139" s="96"/>
      <c r="F139" s="91" t="str">
        <f t="shared" si="30"/>
        <v/>
      </c>
      <c r="G139" s="129"/>
      <c r="H139" s="91" t="str">
        <f t="shared" si="35"/>
        <v/>
      </c>
      <c r="I139" s="91" t="str">
        <f t="shared" si="36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9"/>
        <v/>
      </c>
      <c r="E140" s="96"/>
      <c r="F140" s="91" t="str">
        <f t="shared" si="30"/>
        <v/>
      </c>
      <c r="G140" s="129"/>
      <c r="H140" s="91" t="str">
        <f t="shared" si="35"/>
        <v/>
      </c>
      <c r="I140" s="91" t="str">
        <f t="shared" si="36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9"/>
        <v/>
      </c>
      <c r="E141" s="96"/>
      <c r="F141" s="91" t="str">
        <f t="shared" si="30"/>
        <v/>
      </c>
      <c r="G141" s="129"/>
      <c r="H141" s="91" t="str">
        <f t="shared" si="35"/>
        <v/>
      </c>
      <c r="I141" s="91" t="str">
        <f t="shared" si="36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9"/>
        <v/>
      </c>
      <c r="E142" s="96"/>
      <c r="F142" s="91" t="str">
        <f t="shared" si="30"/>
        <v/>
      </c>
      <c r="G142" s="129"/>
      <c r="H142" s="91" t="str">
        <f t="shared" si="35"/>
        <v/>
      </c>
      <c r="I142" s="91" t="str">
        <f t="shared" si="36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9"/>
        <v/>
      </c>
      <c r="E143" s="96"/>
      <c r="F143" s="91" t="str">
        <f t="shared" si="30"/>
        <v/>
      </c>
      <c r="G143" s="129"/>
      <c r="H143" s="91" t="str">
        <f t="shared" si="35"/>
        <v/>
      </c>
      <c r="I143" s="91" t="str">
        <f t="shared" si="36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9"/>
        <v/>
      </c>
      <c r="E144" s="96"/>
      <c r="F144" s="91" t="str">
        <f t="shared" si="30"/>
        <v/>
      </c>
      <c r="G144" s="129"/>
      <c r="H144" s="91" t="str">
        <f t="shared" si="35"/>
        <v/>
      </c>
      <c r="I144" s="91" t="str">
        <f t="shared" si="36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9"/>
        <v/>
      </c>
      <c r="E145" s="96"/>
      <c r="F145" s="91" t="str">
        <f t="shared" si="30"/>
        <v/>
      </c>
      <c r="G145" s="129"/>
      <c r="H145" s="91" t="str">
        <f t="shared" si="35"/>
        <v/>
      </c>
      <c r="I145" s="91" t="str">
        <f t="shared" si="36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9"/>
        <v/>
      </c>
      <c r="E146" s="96"/>
      <c r="F146" s="91" t="str">
        <f t="shared" si="30"/>
        <v/>
      </c>
      <c r="G146" s="129"/>
      <c r="H146" s="91" t="str">
        <f t="shared" si="35"/>
        <v/>
      </c>
      <c r="I146" s="91" t="str">
        <f t="shared" si="36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9"/>
        <v/>
      </c>
      <c r="E147" s="96"/>
      <c r="F147" s="91" t="str">
        <f t="shared" si="30"/>
        <v/>
      </c>
      <c r="G147" s="129"/>
      <c r="H147" s="91" t="str">
        <f t="shared" si="35"/>
        <v/>
      </c>
      <c r="I147" s="91" t="str">
        <f t="shared" si="36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9"/>
        <v/>
      </c>
      <c r="E148" s="96"/>
      <c r="F148" s="91" t="str">
        <f t="shared" si="30"/>
        <v/>
      </c>
      <c r="G148" s="129"/>
      <c r="H148" s="91" t="str">
        <f t="shared" si="35"/>
        <v/>
      </c>
      <c r="I148" s="91" t="str">
        <f t="shared" si="36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9"/>
        <v/>
      </c>
      <c r="E149" s="96"/>
      <c r="F149" s="91" t="str">
        <f t="shared" si="30"/>
        <v/>
      </c>
      <c r="G149" s="129"/>
      <c r="H149" s="91" t="str">
        <f t="shared" si="35"/>
        <v/>
      </c>
      <c r="I149" s="91" t="str">
        <f t="shared" si="36"/>
        <v/>
      </c>
      <c r="J149" s="327"/>
      <c r="K149" s="327"/>
      <c r="L149" s="327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9"/>
        <v/>
      </c>
      <c r="E150" s="96"/>
      <c r="F150" s="91" t="str">
        <f t="shared" si="30"/>
        <v/>
      </c>
      <c r="G150" s="129"/>
      <c r="H150" s="91" t="str">
        <f t="shared" si="35"/>
        <v/>
      </c>
      <c r="I150" s="91" t="str">
        <f t="shared" si="36"/>
        <v/>
      </c>
      <c r="J150" s="327"/>
      <c r="K150" s="327"/>
      <c r="L150" s="327"/>
      <c r="M150" s="95"/>
      <c r="N150" s="342">
        <f>SUM(J3:J144)</f>
        <v>10085710.066825934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9"/>
        <v/>
      </c>
      <c r="E151" s="96"/>
      <c r="F151" s="91" t="str">
        <f t="shared" si="30"/>
        <v/>
      </c>
      <c r="G151" s="129"/>
      <c r="H151" s="91" t="str">
        <f t="shared" si="35"/>
        <v/>
      </c>
      <c r="I151" s="91" t="str">
        <f t="shared" si="36"/>
        <v/>
      </c>
      <c r="J151" s="327"/>
      <c r="K151" s="327"/>
      <c r="L151" s="327"/>
      <c r="M151" s="95"/>
      <c r="N151" s="342">
        <f>SUM('Unos rashoda P4'!H3:H102)</f>
        <v>1229867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9"/>
        <v/>
      </c>
      <c r="E152" s="96"/>
      <c r="F152" s="91" t="str">
        <f t="shared" si="30"/>
        <v/>
      </c>
      <c r="G152" s="129"/>
      <c r="H152" s="91" t="str">
        <f t="shared" si="35"/>
        <v/>
      </c>
      <c r="I152" s="91" t="str">
        <f t="shared" si="36"/>
        <v/>
      </c>
      <c r="J152" s="327"/>
      <c r="K152" s="327"/>
      <c r="L152" s="327"/>
      <c r="M152" s="95"/>
      <c r="N152" s="342">
        <f>+N151+N150</f>
        <v>11315577.066825934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9"/>
        <v/>
      </c>
      <c r="E153" s="96"/>
      <c r="F153" s="91" t="str">
        <f t="shared" si="30"/>
        <v/>
      </c>
      <c r="G153" s="129"/>
      <c r="H153" s="91" t="str">
        <f t="shared" si="35"/>
        <v/>
      </c>
      <c r="I153" s="91" t="str">
        <f t="shared" si="36"/>
        <v/>
      </c>
      <c r="J153" s="327"/>
      <c r="K153" s="327"/>
      <c r="L153" s="327"/>
      <c r="M153" s="95"/>
      <c r="N153" s="342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9"/>
        <v/>
      </c>
      <c r="E154" s="96"/>
      <c r="F154" s="91" t="str">
        <f t="shared" si="30"/>
        <v/>
      </c>
      <c r="G154" s="129"/>
      <c r="H154" s="91" t="str">
        <f t="shared" si="35"/>
        <v/>
      </c>
      <c r="I154" s="91" t="str">
        <f t="shared" si="36"/>
        <v/>
      </c>
      <c r="J154" s="327"/>
      <c r="K154" s="327"/>
      <c r="L154" s="327"/>
      <c r="M154" s="95"/>
      <c r="N154" s="342">
        <f>+N152+N153</f>
        <v>11315577.066825934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9"/>
        <v/>
      </c>
      <c r="E155" s="96"/>
      <c r="F155" s="91" t="str">
        <f t="shared" si="30"/>
        <v/>
      </c>
      <c r="G155" s="129"/>
      <c r="H155" s="91" t="str">
        <f t="shared" si="35"/>
        <v/>
      </c>
      <c r="I155" s="91" t="str">
        <f t="shared" si="36"/>
        <v/>
      </c>
      <c r="J155" s="327"/>
      <c r="K155" s="327"/>
      <c r="L155" s="327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9"/>
        <v/>
      </c>
      <c r="E156" s="96"/>
      <c r="F156" s="91" t="str">
        <f t="shared" si="30"/>
        <v/>
      </c>
      <c r="G156" s="129"/>
      <c r="H156" s="91" t="str">
        <f t="shared" si="35"/>
        <v/>
      </c>
      <c r="I156" s="91" t="str">
        <f t="shared" si="36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9"/>
        <v/>
      </c>
      <c r="E157" s="96"/>
      <c r="F157" s="91" t="str">
        <f t="shared" si="30"/>
        <v/>
      </c>
      <c r="G157" s="129"/>
      <c r="H157" s="91" t="str">
        <f t="shared" si="35"/>
        <v/>
      </c>
      <c r="I157" s="91" t="str">
        <f t="shared" si="36"/>
        <v/>
      </c>
      <c r="J157" s="128"/>
      <c r="K157" s="128"/>
      <c r="L157" s="128"/>
      <c r="M157" s="95"/>
      <c r="N157" s="342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9"/>
        <v/>
      </c>
      <c r="E158" s="96"/>
      <c r="F158" s="91" t="str">
        <f t="shared" si="30"/>
        <v/>
      </c>
      <c r="G158" s="129"/>
      <c r="H158" s="91" t="str">
        <f t="shared" si="35"/>
        <v/>
      </c>
      <c r="I158" s="91" t="str">
        <f t="shared" si="36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9"/>
        <v/>
      </c>
      <c r="E159" s="96"/>
      <c r="F159" s="91" t="str">
        <f t="shared" si="30"/>
        <v/>
      </c>
      <c r="G159" s="129"/>
      <c r="H159" s="91" t="str">
        <f t="shared" si="35"/>
        <v/>
      </c>
      <c r="I159" s="91" t="str">
        <f t="shared" si="36"/>
        <v/>
      </c>
      <c r="J159" s="128"/>
      <c r="K159" s="128"/>
      <c r="L159" s="128"/>
      <c r="M159" s="95"/>
      <c r="N159" s="342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9"/>
        <v/>
      </c>
      <c r="E160" s="96"/>
      <c r="F160" s="91" t="str">
        <f t="shared" si="30"/>
        <v/>
      </c>
      <c r="G160" s="129"/>
      <c r="H160" s="91" t="str">
        <f t="shared" si="35"/>
        <v/>
      </c>
      <c r="I160" s="91" t="str">
        <f t="shared" si="36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9"/>
        <v/>
      </c>
      <c r="E161" s="96"/>
      <c r="F161" s="91" t="str">
        <f t="shared" si="30"/>
        <v/>
      </c>
      <c r="G161" s="129"/>
      <c r="H161" s="91" t="str">
        <f t="shared" si="35"/>
        <v/>
      </c>
      <c r="I161" s="91" t="str">
        <f t="shared" si="36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9"/>
        <v/>
      </c>
      <c r="E162" s="96"/>
      <c r="F162" s="91" t="str">
        <f t="shared" si="30"/>
        <v/>
      </c>
      <c r="G162" s="129"/>
      <c r="H162" s="91" t="str">
        <f t="shared" si="35"/>
        <v/>
      </c>
      <c r="I162" s="91" t="str">
        <f t="shared" si="36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9"/>
        <v/>
      </c>
      <c r="E163" s="96"/>
      <c r="F163" s="91" t="str">
        <f t="shared" si="30"/>
        <v/>
      </c>
      <c r="G163" s="129"/>
      <c r="H163" s="91" t="str">
        <f t="shared" si="35"/>
        <v/>
      </c>
      <c r="I163" s="91" t="str">
        <f t="shared" si="36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9"/>
        <v/>
      </c>
      <c r="E164" s="96"/>
      <c r="F164" s="91" t="str">
        <f t="shared" si="30"/>
        <v/>
      </c>
      <c r="G164" s="129"/>
      <c r="H164" s="91" t="str">
        <f t="shared" si="35"/>
        <v/>
      </c>
      <c r="I164" s="91" t="str">
        <f t="shared" si="36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9"/>
        <v/>
      </c>
      <c r="E165" s="96"/>
      <c r="F165" s="91" t="str">
        <f t="shared" si="30"/>
        <v/>
      </c>
      <c r="G165" s="129"/>
      <c r="H165" s="91" t="str">
        <f t="shared" si="35"/>
        <v/>
      </c>
      <c r="I165" s="91" t="str">
        <f t="shared" si="36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9"/>
        <v/>
      </c>
      <c r="E166" s="96"/>
      <c r="F166" s="91" t="str">
        <f t="shared" si="30"/>
        <v/>
      </c>
      <c r="G166" s="129"/>
      <c r="H166" s="91" t="str">
        <f t="shared" si="35"/>
        <v/>
      </c>
      <c r="I166" s="91" t="str">
        <f t="shared" si="36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9"/>
        <v/>
      </c>
      <c r="E167" s="96"/>
      <c r="F167" s="91" t="str">
        <f t="shared" si="30"/>
        <v/>
      </c>
      <c r="G167" s="129"/>
      <c r="H167" s="91" t="str">
        <f t="shared" si="35"/>
        <v/>
      </c>
      <c r="I167" s="91" t="str">
        <f t="shared" si="36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9"/>
        <v/>
      </c>
      <c r="E168" s="96"/>
      <c r="F168" s="91" t="str">
        <f t="shared" si="30"/>
        <v/>
      </c>
      <c r="G168" s="129"/>
      <c r="H168" s="91" t="str">
        <f t="shared" si="35"/>
        <v/>
      </c>
      <c r="I168" s="91" t="str">
        <f t="shared" si="36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9"/>
        <v/>
      </c>
      <c r="E169" s="96"/>
      <c r="F169" s="91" t="str">
        <f t="shared" si="30"/>
        <v/>
      </c>
      <c r="G169" s="129"/>
      <c r="H169" s="91" t="str">
        <f t="shared" si="35"/>
        <v/>
      </c>
      <c r="I169" s="91" t="str">
        <f t="shared" si="36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9"/>
        <v/>
      </c>
      <c r="E170" s="96"/>
      <c r="F170" s="91" t="str">
        <f t="shared" si="30"/>
        <v/>
      </c>
      <c r="G170" s="129"/>
      <c r="H170" s="91" t="str">
        <f t="shared" si="35"/>
        <v/>
      </c>
      <c r="I170" s="91" t="str">
        <f t="shared" si="36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9"/>
        <v/>
      </c>
      <c r="E171" s="96"/>
      <c r="F171" s="91" t="str">
        <f t="shared" si="30"/>
        <v/>
      </c>
      <c r="G171" s="129"/>
      <c r="H171" s="91" t="str">
        <f t="shared" si="35"/>
        <v/>
      </c>
      <c r="I171" s="91" t="str">
        <f t="shared" si="36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9"/>
        <v/>
      </c>
      <c r="E172" s="96"/>
      <c r="F172" s="91" t="str">
        <f t="shared" si="30"/>
        <v/>
      </c>
      <c r="G172" s="129"/>
      <c r="H172" s="91" t="str">
        <f t="shared" si="35"/>
        <v/>
      </c>
      <c r="I172" s="91" t="str">
        <f t="shared" si="36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9"/>
        <v/>
      </c>
      <c r="E173" s="96"/>
      <c r="F173" s="91" t="str">
        <f t="shared" si="30"/>
        <v/>
      </c>
      <c r="G173" s="129"/>
      <c r="H173" s="91" t="str">
        <f t="shared" si="35"/>
        <v/>
      </c>
      <c r="I173" s="91" t="str">
        <f t="shared" si="36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9"/>
        <v/>
      </c>
      <c r="E174" s="96"/>
      <c r="F174" s="91" t="str">
        <f t="shared" si="30"/>
        <v/>
      </c>
      <c r="G174" s="129"/>
      <c r="H174" s="91" t="str">
        <f t="shared" si="35"/>
        <v/>
      </c>
      <c r="I174" s="91" t="str">
        <f t="shared" si="36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9"/>
        <v/>
      </c>
      <c r="E175" s="96"/>
      <c r="F175" s="91" t="str">
        <f t="shared" si="30"/>
        <v/>
      </c>
      <c r="G175" s="129"/>
      <c r="H175" s="91" t="str">
        <f t="shared" si="35"/>
        <v/>
      </c>
      <c r="I175" s="91" t="str">
        <f t="shared" si="36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9"/>
        <v/>
      </c>
      <c r="E176" s="96"/>
      <c r="F176" s="91" t="str">
        <f t="shared" si="30"/>
        <v/>
      </c>
      <c r="G176" s="129"/>
      <c r="H176" s="91" t="str">
        <f t="shared" si="35"/>
        <v/>
      </c>
      <c r="I176" s="91" t="str">
        <f t="shared" si="36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9"/>
        <v/>
      </c>
      <c r="E177" s="96"/>
      <c r="F177" s="91" t="str">
        <f t="shared" si="30"/>
        <v/>
      </c>
      <c r="G177" s="129"/>
      <c r="H177" s="91" t="str">
        <f t="shared" si="35"/>
        <v/>
      </c>
      <c r="I177" s="91" t="str">
        <f t="shared" si="36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9"/>
        <v/>
      </c>
      <c r="E178" s="96"/>
      <c r="F178" s="91" t="str">
        <f t="shared" si="30"/>
        <v/>
      </c>
      <c r="G178" s="129"/>
      <c r="H178" s="91" t="str">
        <f t="shared" si="35"/>
        <v/>
      </c>
      <c r="I178" s="91" t="str">
        <f t="shared" si="36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9"/>
        <v/>
      </c>
      <c r="E179" s="96"/>
      <c r="F179" s="91" t="str">
        <f t="shared" si="30"/>
        <v/>
      </c>
      <c r="G179" s="129"/>
      <c r="H179" s="91" t="str">
        <f t="shared" si="35"/>
        <v/>
      </c>
      <c r="I179" s="91" t="str">
        <f t="shared" si="36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9"/>
        <v/>
      </c>
      <c r="E180" s="96"/>
      <c r="F180" s="91" t="str">
        <f t="shared" si="30"/>
        <v/>
      </c>
      <c r="G180" s="129"/>
      <c r="H180" s="91" t="str">
        <f t="shared" si="35"/>
        <v/>
      </c>
      <c r="I180" s="91" t="str">
        <f t="shared" si="36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9"/>
        <v/>
      </c>
      <c r="E181" s="96"/>
      <c r="F181" s="91" t="str">
        <f t="shared" si="30"/>
        <v/>
      </c>
      <c r="G181" s="129"/>
      <c r="H181" s="91" t="str">
        <f t="shared" si="35"/>
        <v/>
      </c>
      <c r="I181" s="91" t="str">
        <f t="shared" si="36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9"/>
        <v/>
      </c>
      <c r="E182" s="96"/>
      <c r="F182" s="91" t="str">
        <f t="shared" si="30"/>
        <v/>
      </c>
      <c r="G182" s="129"/>
      <c r="H182" s="91" t="str">
        <f t="shared" si="35"/>
        <v/>
      </c>
      <c r="I182" s="91" t="str">
        <f t="shared" si="36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9"/>
        <v/>
      </c>
      <c r="E183" s="96"/>
      <c r="F183" s="91" t="str">
        <f t="shared" si="30"/>
        <v/>
      </c>
      <c r="G183" s="129"/>
      <c r="H183" s="91" t="str">
        <f t="shared" si="35"/>
        <v/>
      </c>
      <c r="I183" s="91" t="str">
        <f t="shared" si="36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9"/>
        <v/>
      </c>
      <c r="E184" s="96"/>
      <c r="F184" s="91" t="str">
        <f t="shared" si="30"/>
        <v/>
      </c>
      <c r="G184" s="129"/>
      <c r="H184" s="91" t="str">
        <f t="shared" si="35"/>
        <v/>
      </c>
      <c r="I184" s="91" t="str">
        <f t="shared" si="36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9"/>
        <v/>
      </c>
      <c r="E185" s="96"/>
      <c r="F185" s="91" t="str">
        <f t="shared" si="30"/>
        <v/>
      </c>
      <c r="G185" s="129"/>
      <c r="H185" s="91" t="str">
        <f t="shared" si="35"/>
        <v/>
      </c>
      <c r="I185" s="91" t="str">
        <f t="shared" si="36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9"/>
        <v/>
      </c>
      <c r="E186" s="96"/>
      <c r="F186" s="91" t="str">
        <f t="shared" si="30"/>
        <v/>
      </c>
      <c r="G186" s="129"/>
      <c r="H186" s="91" t="str">
        <f t="shared" si="35"/>
        <v/>
      </c>
      <c r="I186" s="91" t="str">
        <f t="shared" si="36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9"/>
        <v/>
      </c>
      <c r="E187" s="96"/>
      <c r="F187" s="91" t="str">
        <f t="shared" si="30"/>
        <v/>
      </c>
      <c r="G187" s="129"/>
      <c r="H187" s="91" t="str">
        <f t="shared" si="35"/>
        <v/>
      </c>
      <c r="I187" s="91" t="str">
        <f t="shared" si="36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9"/>
        <v/>
      </c>
      <c r="E188" s="96"/>
      <c r="F188" s="91" t="str">
        <f t="shared" si="30"/>
        <v/>
      </c>
      <c r="G188" s="129"/>
      <c r="H188" s="91" t="str">
        <f t="shared" si="35"/>
        <v/>
      </c>
      <c r="I188" s="91" t="str">
        <f t="shared" si="36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9"/>
        <v/>
      </c>
      <c r="E189" s="96"/>
      <c r="F189" s="91" t="str">
        <f t="shared" si="30"/>
        <v/>
      </c>
      <c r="G189" s="129"/>
      <c r="H189" s="91" t="str">
        <f t="shared" si="35"/>
        <v/>
      </c>
      <c r="I189" s="91" t="str">
        <f t="shared" si="36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9"/>
        <v/>
      </c>
      <c r="E190" s="96"/>
      <c r="F190" s="91" t="str">
        <f t="shared" si="30"/>
        <v/>
      </c>
      <c r="G190" s="129"/>
      <c r="H190" s="91" t="str">
        <f t="shared" si="35"/>
        <v/>
      </c>
      <c r="I190" s="91" t="str">
        <f t="shared" si="36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9"/>
        <v/>
      </c>
      <c r="E191" s="96"/>
      <c r="F191" s="91" t="str">
        <f t="shared" si="30"/>
        <v/>
      </c>
      <c r="G191" s="129"/>
      <c r="H191" s="91" t="str">
        <f t="shared" si="35"/>
        <v/>
      </c>
      <c r="I191" s="91" t="str">
        <f t="shared" si="36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9"/>
        <v/>
      </c>
      <c r="E192" s="96"/>
      <c r="F192" s="91" t="str">
        <f t="shared" si="30"/>
        <v/>
      </c>
      <c r="G192" s="129"/>
      <c r="H192" s="91" t="str">
        <f t="shared" si="35"/>
        <v/>
      </c>
      <c r="I192" s="91" t="str">
        <f t="shared" si="36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9"/>
        <v/>
      </c>
      <c r="E193" s="96"/>
      <c r="F193" s="91" t="str">
        <f t="shared" si="30"/>
        <v/>
      </c>
      <c r="G193" s="129"/>
      <c r="H193" s="91" t="str">
        <f t="shared" si="35"/>
        <v/>
      </c>
      <c r="I193" s="91" t="str">
        <f t="shared" si="36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9"/>
        <v/>
      </c>
      <c r="E194" s="96"/>
      <c r="F194" s="91" t="str">
        <f t="shared" si="30"/>
        <v/>
      </c>
      <c r="G194" s="129"/>
      <c r="H194" s="91" t="str">
        <f t="shared" si="35"/>
        <v/>
      </c>
      <c r="I194" s="91" t="str">
        <f t="shared" si="36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7">IFERROR(VLOOKUP(C195,$S$6:$T$24,2,FALSE),"")</f>
        <v/>
      </c>
      <c r="E195" s="96"/>
      <c r="F195" s="91" t="str">
        <f t="shared" si="30"/>
        <v/>
      </c>
      <c r="G195" s="129"/>
      <c r="H195" s="91" t="str">
        <f t="shared" si="35"/>
        <v/>
      </c>
      <c r="I195" s="91" t="str">
        <f t="shared" si="36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7"/>
        <v/>
      </c>
      <c r="E196" s="96"/>
      <c r="F196" s="91" t="str">
        <f t="shared" ref="F196:F259" si="38">IFERROR(VLOOKUP(E196,$V$5:$X$129,2,FALSE),"")</f>
        <v/>
      </c>
      <c r="G196" s="129"/>
      <c r="H196" s="91" t="str">
        <f t="shared" ref="H196:H259" si="39">IFERROR(VLOOKUP(G196,$AB$6:$AC$327,2,FALSE),"")</f>
        <v/>
      </c>
      <c r="I196" s="91" t="str">
        <f t="shared" ref="I196:I259" si="40">IFERROR(VLOOKUP(G196,$AB$6:$AF$327,3,FALSE),"")</f>
        <v/>
      </c>
      <c r="J196" s="128"/>
      <c r="K196" s="128"/>
      <c r="L196" s="128"/>
      <c r="M196" s="95"/>
      <c r="O196" s="86" t="str">
        <f t="shared" ref="O196:O259" si="41">LEFT(E196,3)</f>
        <v/>
      </c>
      <c r="P196" s="86" t="str">
        <f t="shared" ref="P196:P259" si="42">LEFT(E196,2)</f>
        <v/>
      </c>
      <c r="Q196" s="86" t="str">
        <f t="shared" ref="Q196:Q259" si="43">LEFT(C196,3)</f>
        <v/>
      </c>
      <c r="R196" s="86" t="str">
        <f t="shared" ref="R196:R259" si="44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7"/>
        <v/>
      </c>
      <c r="E197" s="96"/>
      <c r="F197" s="91" t="str">
        <f t="shared" si="38"/>
        <v/>
      </c>
      <c r="G197" s="129"/>
      <c r="H197" s="91" t="str">
        <f t="shared" si="39"/>
        <v/>
      </c>
      <c r="I197" s="91" t="str">
        <f t="shared" si="40"/>
        <v/>
      </c>
      <c r="J197" s="128"/>
      <c r="K197" s="128"/>
      <c r="L197" s="128"/>
      <c r="M197" s="95"/>
      <c r="O197" s="86" t="str">
        <f t="shared" si="41"/>
        <v/>
      </c>
      <c r="P197" s="86" t="str">
        <f t="shared" si="42"/>
        <v/>
      </c>
      <c r="Q197" s="86" t="str">
        <f t="shared" si="43"/>
        <v/>
      </c>
      <c r="R197" s="86" t="str">
        <f t="shared" si="44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7"/>
        <v/>
      </c>
      <c r="E198" s="96"/>
      <c r="F198" s="91" t="str">
        <f t="shared" si="38"/>
        <v/>
      </c>
      <c r="G198" s="129"/>
      <c r="H198" s="91" t="str">
        <f t="shared" si="39"/>
        <v/>
      </c>
      <c r="I198" s="91" t="str">
        <f t="shared" si="40"/>
        <v/>
      </c>
      <c r="J198" s="128"/>
      <c r="K198" s="128"/>
      <c r="L198" s="128"/>
      <c r="M198" s="95"/>
      <c r="O198" s="86" t="str">
        <f t="shared" si="41"/>
        <v/>
      </c>
      <c r="P198" s="86" t="str">
        <f t="shared" si="42"/>
        <v/>
      </c>
      <c r="Q198" s="86" t="str">
        <f t="shared" si="43"/>
        <v/>
      </c>
      <c r="R198" s="86" t="str">
        <f t="shared" si="44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7"/>
        <v/>
      </c>
      <c r="E199" s="96"/>
      <c r="F199" s="91" t="str">
        <f t="shared" si="38"/>
        <v/>
      </c>
      <c r="G199" s="129"/>
      <c r="H199" s="91" t="str">
        <f t="shared" si="39"/>
        <v/>
      </c>
      <c r="I199" s="91" t="str">
        <f t="shared" si="40"/>
        <v/>
      </c>
      <c r="J199" s="128"/>
      <c r="K199" s="128"/>
      <c r="L199" s="128"/>
      <c r="M199" s="95"/>
      <c r="O199" s="86" t="str">
        <f t="shared" si="41"/>
        <v/>
      </c>
      <c r="P199" s="86" t="str">
        <f t="shared" si="42"/>
        <v/>
      </c>
      <c r="Q199" s="86" t="str">
        <f t="shared" si="43"/>
        <v/>
      </c>
      <c r="R199" s="86" t="str">
        <f t="shared" si="44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7"/>
        <v/>
      </c>
      <c r="E200" s="96"/>
      <c r="F200" s="91" t="str">
        <f t="shared" si="38"/>
        <v/>
      </c>
      <c r="G200" s="129"/>
      <c r="H200" s="91" t="str">
        <f t="shared" si="39"/>
        <v/>
      </c>
      <c r="I200" s="91" t="str">
        <f t="shared" si="40"/>
        <v/>
      </c>
      <c r="J200" s="128"/>
      <c r="K200" s="128"/>
      <c r="L200" s="128"/>
      <c r="M200" s="95"/>
      <c r="O200" s="86" t="str">
        <f t="shared" si="41"/>
        <v/>
      </c>
      <c r="P200" s="86" t="str">
        <f t="shared" si="42"/>
        <v/>
      </c>
      <c r="Q200" s="86" t="str">
        <f t="shared" si="43"/>
        <v/>
      </c>
      <c r="R200" s="86" t="str">
        <f t="shared" si="44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7"/>
        <v/>
      </c>
      <c r="E201" s="96"/>
      <c r="F201" s="91" t="str">
        <f t="shared" si="38"/>
        <v/>
      </c>
      <c r="G201" s="129"/>
      <c r="H201" s="91" t="str">
        <f t="shared" si="39"/>
        <v/>
      </c>
      <c r="I201" s="91" t="str">
        <f t="shared" si="40"/>
        <v/>
      </c>
      <c r="J201" s="128"/>
      <c r="K201" s="128"/>
      <c r="L201" s="128"/>
      <c r="M201" s="95"/>
      <c r="O201" s="86" t="str">
        <f t="shared" si="41"/>
        <v/>
      </c>
      <c r="P201" s="86" t="str">
        <f t="shared" si="42"/>
        <v/>
      </c>
      <c r="Q201" s="86" t="str">
        <f t="shared" si="43"/>
        <v/>
      </c>
      <c r="R201" s="86" t="str">
        <f t="shared" si="44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7"/>
        <v/>
      </c>
      <c r="E202" s="96"/>
      <c r="F202" s="91" t="str">
        <f t="shared" si="38"/>
        <v/>
      </c>
      <c r="G202" s="129"/>
      <c r="H202" s="91" t="str">
        <f t="shared" si="39"/>
        <v/>
      </c>
      <c r="I202" s="91" t="str">
        <f t="shared" si="40"/>
        <v/>
      </c>
      <c r="J202" s="128"/>
      <c r="K202" s="128"/>
      <c r="L202" s="128"/>
      <c r="M202" s="95"/>
      <c r="O202" s="86" t="str">
        <f t="shared" si="41"/>
        <v/>
      </c>
      <c r="P202" s="86" t="str">
        <f t="shared" si="42"/>
        <v/>
      </c>
      <c r="Q202" s="86" t="str">
        <f t="shared" si="43"/>
        <v/>
      </c>
      <c r="R202" s="86" t="str">
        <f t="shared" si="44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7"/>
        <v/>
      </c>
      <c r="E203" s="96"/>
      <c r="F203" s="91" t="str">
        <f t="shared" si="38"/>
        <v/>
      </c>
      <c r="G203" s="129"/>
      <c r="H203" s="91" t="str">
        <f t="shared" si="39"/>
        <v/>
      </c>
      <c r="I203" s="91" t="str">
        <f t="shared" si="40"/>
        <v/>
      </c>
      <c r="J203" s="128"/>
      <c r="K203" s="128"/>
      <c r="L203" s="128"/>
      <c r="M203" s="95"/>
      <c r="O203" s="86" t="str">
        <f t="shared" si="41"/>
        <v/>
      </c>
      <c r="P203" s="86" t="str">
        <f t="shared" si="42"/>
        <v/>
      </c>
      <c r="Q203" s="86" t="str">
        <f t="shared" si="43"/>
        <v/>
      </c>
      <c r="R203" s="86" t="str">
        <f t="shared" si="44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7"/>
        <v/>
      </c>
      <c r="E204" s="96"/>
      <c r="F204" s="91" t="str">
        <f t="shared" si="38"/>
        <v/>
      </c>
      <c r="G204" s="129"/>
      <c r="H204" s="91" t="str">
        <f t="shared" si="39"/>
        <v/>
      </c>
      <c r="I204" s="91" t="str">
        <f t="shared" si="40"/>
        <v/>
      </c>
      <c r="J204" s="128"/>
      <c r="K204" s="128"/>
      <c r="L204" s="128"/>
      <c r="M204" s="95"/>
      <c r="O204" s="86" t="str">
        <f t="shared" si="41"/>
        <v/>
      </c>
      <c r="P204" s="86" t="str">
        <f t="shared" si="42"/>
        <v/>
      </c>
      <c r="Q204" s="86" t="str">
        <f t="shared" si="43"/>
        <v/>
      </c>
      <c r="R204" s="86" t="str">
        <f t="shared" si="44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7"/>
        <v/>
      </c>
      <c r="E205" s="96"/>
      <c r="F205" s="91" t="str">
        <f t="shared" si="38"/>
        <v/>
      </c>
      <c r="G205" s="129"/>
      <c r="H205" s="91" t="str">
        <f t="shared" si="39"/>
        <v/>
      </c>
      <c r="I205" s="91" t="str">
        <f t="shared" si="40"/>
        <v/>
      </c>
      <c r="J205" s="128"/>
      <c r="K205" s="128"/>
      <c r="L205" s="128"/>
      <c r="M205" s="95"/>
      <c r="O205" s="86" t="str">
        <f t="shared" si="41"/>
        <v/>
      </c>
      <c r="P205" s="86" t="str">
        <f t="shared" si="42"/>
        <v/>
      </c>
      <c r="Q205" s="86" t="str">
        <f t="shared" si="43"/>
        <v/>
      </c>
      <c r="R205" s="86" t="str">
        <f t="shared" si="44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7"/>
        <v/>
      </c>
      <c r="E206" s="96"/>
      <c r="F206" s="91" t="str">
        <f t="shared" si="38"/>
        <v/>
      </c>
      <c r="G206" s="129"/>
      <c r="H206" s="91" t="str">
        <f t="shared" si="39"/>
        <v/>
      </c>
      <c r="I206" s="91" t="str">
        <f t="shared" si="40"/>
        <v/>
      </c>
      <c r="J206" s="128"/>
      <c r="K206" s="128"/>
      <c r="L206" s="128"/>
      <c r="M206" s="95"/>
      <c r="O206" s="86" t="str">
        <f t="shared" si="41"/>
        <v/>
      </c>
      <c r="P206" s="86" t="str">
        <f t="shared" si="42"/>
        <v/>
      </c>
      <c r="Q206" s="86" t="str">
        <f t="shared" si="43"/>
        <v/>
      </c>
      <c r="R206" s="86" t="str">
        <f t="shared" si="44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7"/>
        <v/>
      </c>
      <c r="E207" s="96"/>
      <c r="F207" s="91" t="str">
        <f t="shared" si="38"/>
        <v/>
      </c>
      <c r="G207" s="129"/>
      <c r="H207" s="91" t="str">
        <f t="shared" si="39"/>
        <v/>
      </c>
      <c r="I207" s="91" t="str">
        <f t="shared" si="40"/>
        <v/>
      </c>
      <c r="J207" s="128"/>
      <c r="K207" s="128"/>
      <c r="L207" s="128"/>
      <c r="M207" s="95"/>
      <c r="O207" s="86" t="str">
        <f t="shared" si="41"/>
        <v/>
      </c>
      <c r="P207" s="86" t="str">
        <f t="shared" si="42"/>
        <v/>
      </c>
      <c r="Q207" s="86" t="str">
        <f t="shared" si="43"/>
        <v/>
      </c>
      <c r="R207" s="86" t="str">
        <f t="shared" si="44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7"/>
        <v/>
      </c>
      <c r="E208" s="96"/>
      <c r="F208" s="91" t="str">
        <f t="shared" si="38"/>
        <v/>
      </c>
      <c r="G208" s="129"/>
      <c r="H208" s="91" t="str">
        <f t="shared" si="39"/>
        <v/>
      </c>
      <c r="I208" s="91" t="str">
        <f t="shared" si="40"/>
        <v/>
      </c>
      <c r="J208" s="128"/>
      <c r="K208" s="128"/>
      <c r="L208" s="128"/>
      <c r="M208" s="95"/>
      <c r="O208" s="86" t="str">
        <f t="shared" si="41"/>
        <v/>
      </c>
      <c r="P208" s="86" t="str">
        <f t="shared" si="42"/>
        <v/>
      </c>
      <c r="Q208" s="86" t="str">
        <f t="shared" si="43"/>
        <v/>
      </c>
      <c r="R208" s="86" t="str">
        <f t="shared" si="44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7"/>
        <v/>
      </c>
      <c r="E209" s="96"/>
      <c r="F209" s="91" t="str">
        <f t="shared" si="38"/>
        <v/>
      </c>
      <c r="G209" s="129"/>
      <c r="H209" s="91" t="str">
        <f t="shared" si="39"/>
        <v/>
      </c>
      <c r="I209" s="91" t="str">
        <f t="shared" si="40"/>
        <v/>
      </c>
      <c r="J209" s="128"/>
      <c r="K209" s="128"/>
      <c r="L209" s="128"/>
      <c r="M209" s="95"/>
      <c r="O209" s="86" t="str">
        <f t="shared" si="41"/>
        <v/>
      </c>
      <c r="P209" s="86" t="str">
        <f t="shared" si="42"/>
        <v/>
      </c>
      <c r="Q209" s="86" t="str">
        <f t="shared" si="43"/>
        <v/>
      </c>
      <c r="R209" s="86" t="str">
        <f t="shared" si="44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7"/>
        <v/>
      </c>
      <c r="E210" s="96"/>
      <c r="F210" s="91" t="str">
        <f t="shared" si="38"/>
        <v/>
      </c>
      <c r="G210" s="129"/>
      <c r="H210" s="91" t="str">
        <f t="shared" si="39"/>
        <v/>
      </c>
      <c r="I210" s="91" t="str">
        <f t="shared" si="40"/>
        <v/>
      </c>
      <c r="J210" s="128"/>
      <c r="K210" s="128"/>
      <c r="L210" s="128"/>
      <c r="M210" s="95"/>
      <c r="O210" s="86" t="str">
        <f t="shared" si="41"/>
        <v/>
      </c>
      <c r="P210" s="86" t="str">
        <f t="shared" si="42"/>
        <v/>
      </c>
      <c r="Q210" s="86" t="str">
        <f t="shared" si="43"/>
        <v/>
      </c>
      <c r="R210" s="86" t="str">
        <f t="shared" si="44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7"/>
        <v/>
      </c>
      <c r="E211" s="96"/>
      <c r="F211" s="91" t="str">
        <f t="shared" si="38"/>
        <v/>
      </c>
      <c r="G211" s="129"/>
      <c r="H211" s="91" t="str">
        <f t="shared" si="39"/>
        <v/>
      </c>
      <c r="I211" s="91" t="str">
        <f t="shared" si="40"/>
        <v/>
      </c>
      <c r="J211" s="128"/>
      <c r="K211" s="128"/>
      <c r="L211" s="128"/>
      <c r="M211" s="95"/>
      <c r="O211" s="86" t="str">
        <f t="shared" si="41"/>
        <v/>
      </c>
      <c r="P211" s="86" t="str">
        <f t="shared" si="42"/>
        <v/>
      </c>
      <c r="Q211" s="86" t="str">
        <f t="shared" si="43"/>
        <v/>
      </c>
      <c r="R211" s="86" t="str">
        <f t="shared" si="44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7"/>
        <v/>
      </c>
      <c r="E212" s="96"/>
      <c r="F212" s="91" t="str">
        <f t="shared" si="38"/>
        <v/>
      </c>
      <c r="G212" s="129"/>
      <c r="H212" s="91" t="str">
        <f t="shared" si="39"/>
        <v/>
      </c>
      <c r="I212" s="91" t="str">
        <f t="shared" si="40"/>
        <v/>
      </c>
      <c r="J212" s="128"/>
      <c r="K212" s="128"/>
      <c r="L212" s="128"/>
      <c r="M212" s="95"/>
      <c r="O212" s="86" t="str">
        <f t="shared" si="41"/>
        <v/>
      </c>
      <c r="P212" s="86" t="str">
        <f t="shared" si="42"/>
        <v/>
      </c>
      <c r="Q212" s="86" t="str">
        <f t="shared" si="43"/>
        <v/>
      </c>
      <c r="R212" s="86" t="str">
        <f t="shared" si="44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7"/>
        <v/>
      </c>
      <c r="E213" s="96"/>
      <c r="F213" s="91" t="str">
        <f t="shared" si="38"/>
        <v/>
      </c>
      <c r="G213" s="129"/>
      <c r="H213" s="91" t="str">
        <f t="shared" si="39"/>
        <v/>
      </c>
      <c r="I213" s="91" t="str">
        <f t="shared" si="40"/>
        <v/>
      </c>
      <c r="J213" s="128"/>
      <c r="K213" s="128"/>
      <c r="L213" s="128"/>
      <c r="M213" s="95"/>
      <c r="O213" s="86" t="str">
        <f t="shared" si="41"/>
        <v/>
      </c>
      <c r="P213" s="86" t="str">
        <f t="shared" si="42"/>
        <v/>
      </c>
      <c r="Q213" s="86" t="str">
        <f t="shared" si="43"/>
        <v/>
      </c>
      <c r="R213" s="86" t="str">
        <f t="shared" si="44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7"/>
        <v/>
      </c>
      <c r="E214" s="96"/>
      <c r="F214" s="91" t="str">
        <f t="shared" si="38"/>
        <v/>
      </c>
      <c r="G214" s="129"/>
      <c r="H214" s="91" t="str">
        <f t="shared" si="39"/>
        <v/>
      </c>
      <c r="I214" s="91" t="str">
        <f t="shared" si="40"/>
        <v/>
      </c>
      <c r="J214" s="128"/>
      <c r="K214" s="128"/>
      <c r="L214" s="128"/>
      <c r="M214" s="95"/>
      <c r="O214" s="86" t="str">
        <f t="shared" si="41"/>
        <v/>
      </c>
      <c r="P214" s="86" t="str">
        <f t="shared" si="42"/>
        <v/>
      </c>
      <c r="Q214" s="86" t="str">
        <f t="shared" si="43"/>
        <v/>
      </c>
      <c r="R214" s="86" t="str">
        <f t="shared" si="44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7"/>
        <v/>
      </c>
      <c r="E215" s="96"/>
      <c r="F215" s="91" t="str">
        <f t="shared" si="38"/>
        <v/>
      </c>
      <c r="G215" s="129"/>
      <c r="H215" s="91" t="str">
        <f t="shared" si="39"/>
        <v/>
      </c>
      <c r="I215" s="91" t="str">
        <f t="shared" si="40"/>
        <v/>
      </c>
      <c r="J215" s="128"/>
      <c r="K215" s="128"/>
      <c r="L215" s="128"/>
      <c r="M215" s="95"/>
      <c r="O215" s="86" t="str">
        <f t="shared" si="41"/>
        <v/>
      </c>
      <c r="P215" s="86" t="str">
        <f t="shared" si="42"/>
        <v/>
      </c>
      <c r="Q215" s="86" t="str">
        <f t="shared" si="43"/>
        <v/>
      </c>
      <c r="R215" s="86" t="str">
        <f t="shared" si="44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7"/>
        <v/>
      </c>
      <c r="E216" s="96"/>
      <c r="F216" s="91" t="str">
        <f t="shared" si="38"/>
        <v/>
      </c>
      <c r="G216" s="129"/>
      <c r="H216" s="91" t="str">
        <f t="shared" si="39"/>
        <v/>
      </c>
      <c r="I216" s="91" t="str">
        <f t="shared" si="40"/>
        <v/>
      </c>
      <c r="J216" s="128"/>
      <c r="K216" s="128"/>
      <c r="L216" s="128"/>
      <c r="M216" s="95"/>
      <c r="O216" s="86" t="str">
        <f t="shared" si="41"/>
        <v/>
      </c>
      <c r="P216" s="86" t="str">
        <f t="shared" si="42"/>
        <v/>
      </c>
      <c r="Q216" s="86" t="str">
        <f t="shared" si="43"/>
        <v/>
      </c>
      <c r="R216" s="86" t="str">
        <f t="shared" si="44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7"/>
        <v/>
      </c>
      <c r="E217" s="96"/>
      <c r="F217" s="91" t="str">
        <f t="shared" si="38"/>
        <v/>
      </c>
      <c r="G217" s="129"/>
      <c r="H217" s="91" t="str">
        <f t="shared" si="39"/>
        <v/>
      </c>
      <c r="I217" s="91" t="str">
        <f t="shared" si="40"/>
        <v/>
      </c>
      <c r="J217" s="128"/>
      <c r="K217" s="128"/>
      <c r="L217" s="128"/>
      <c r="M217" s="95"/>
      <c r="O217" s="86" t="str">
        <f t="shared" si="41"/>
        <v/>
      </c>
      <c r="P217" s="86" t="str">
        <f t="shared" si="42"/>
        <v/>
      </c>
      <c r="Q217" s="86" t="str">
        <f t="shared" si="43"/>
        <v/>
      </c>
      <c r="R217" s="86" t="str">
        <f t="shared" si="44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7"/>
        <v/>
      </c>
      <c r="E218" s="96"/>
      <c r="F218" s="91" t="str">
        <f t="shared" si="38"/>
        <v/>
      </c>
      <c r="G218" s="129"/>
      <c r="H218" s="91" t="str">
        <f t="shared" si="39"/>
        <v/>
      </c>
      <c r="I218" s="91" t="str">
        <f t="shared" si="40"/>
        <v/>
      </c>
      <c r="J218" s="128"/>
      <c r="K218" s="128"/>
      <c r="L218" s="128"/>
      <c r="M218" s="95"/>
      <c r="O218" s="86" t="str">
        <f t="shared" si="41"/>
        <v/>
      </c>
      <c r="P218" s="86" t="str">
        <f t="shared" si="42"/>
        <v/>
      </c>
      <c r="Q218" s="86" t="str">
        <f t="shared" si="43"/>
        <v/>
      </c>
      <c r="R218" s="86" t="str">
        <f t="shared" si="44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7"/>
        <v/>
      </c>
      <c r="E219" s="96"/>
      <c r="F219" s="91" t="str">
        <f t="shared" si="38"/>
        <v/>
      </c>
      <c r="G219" s="129"/>
      <c r="H219" s="91" t="str">
        <f t="shared" si="39"/>
        <v/>
      </c>
      <c r="I219" s="91" t="str">
        <f t="shared" si="40"/>
        <v/>
      </c>
      <c r="J219" s="128"/>
      <c r="K219" s="128"/>
      <c r="L219" s="128"/>
      <c r="M219" s="95"/>
      <c r="O219" s="86" t="str">
        <f t="shared" si="41"/>
        <v/>
      </c>
      <c r="P219" s="86" t="str">
        <f t="shared" si="42"/>
        <v/>
      </c>
      <c r="Q219" s="86" t="str">
        <f t="shared" si="43"/>
        <v/>
      </c>
      <c r="R219" s="86" t="str">
        <f t="shared" si="44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7"/>
        <v/>
      </c>
      <c r="E220" s="96"/>
      <c r="F220" s="91" t="str">
        <f t="shared" si="38"/>
        <v/>
      </c>
      <c r="G220" s="129"/>
      <c r="H220" s="91" t="str">
        <f t="shared" si="39"/>
        <v/>
      </c>
      <c r="I220" s="91" t="str">
        <f t="shared" si="40"/>
        <v/>
      </c>
      <c r="J220" s="128"/>
      <c r="K220" s="128"/>
      <c r="L220" s="128"/>
      <c r="M220" s="95"/>
      <c r="O220" s="86" t="str">
        <f t="shared" si="41"/>
        <v/>
      </c>
      <c r="P220" s="86" t="str">
        <f t="shared" si="42"/>
        <v/>
      </c>
      <c r="Q220" s="86" t="str">
        <f t="shared" si="43"/>
        <v/>
      </c>
      <c r="R220" s="86" t="str">
        <f t="shared" si="44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7"/>
        <v/>
      </c>
      <c r="E221" s="96"/>
      <c r="F221" s="91" t="str">
        <f t="shared" si="38"/>
        <v/>
      </c>
      <c r="G221" s="129"/>
      <c r="H221" s="91" t="str">
        <f t="shared" si="39"/>
        <v/>
      </c>
      <c r="I221" s="91" t="str">
        <f t="shared" si="40"/>
        <v/>
      </c>
      <c r="J221" s="128"/>
      <c r="K221" s="128"/>
      <c r="L221" s="128"/>
      <c r="M221" s="95"/>
      <c r="O221" s="86" t="str">
        <f t="shared" si="41"/>
        <v/>
      </c>
      <c r="P221" s="86" t="str">
        <f t="shared" si="42"/>
        <v/>
      </c>
      <c r="Q221" s="86" t="str">
        <f t="shared" si="43"/>
        <v/>
      </c>
      <c r="R221" s="86" t="str">
        <f t="shared" si="44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7"/>
        <v/>
      </c>
      <c r="E222" s="96"/>
      <c r="F222" s="91" t="str">
        <f t="shared" si="38"/>
        <v/>
      </c>
      <c r="G222" s="129"/>
      <c r="H222" s="91" t="str">
        <f t="shared" si="39"/>
        <v/>
      </c>
      <c r="I222" s="91" t="str">
        <f t="shared" si="40"/>
        <v/>
      </c>
      <c r="J222" s="128"/>
      <c r="K222" s="128"/>
      <c r="L222" s="128"/>
      <c r="M222" s="95"/>
      <c r="O222" s="86" t="str">
        <f t="shared" si="41"/>
        <v/>
      </c>
      <c r="P222" s="86" t="str">
        <f t="shared" si="42"/>
        <v/>
      </c>
      <c r="Q222" s="86" t="str">
        <f t="shared" si="43"/>
        <v/>
      </c>
      <c r="R222" s="86" t="str">
        <f t="shared" si="44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7"/>
        <v/>
      </c>
      <c r="E223" s="96"/>
      <c r="F223" s="91" t="str">
        <f t="shared" si="38"/>
        <v/>
      </c>
      <c r="G223" s="129"/>
      <c r="H223" s="91" t="str">
        <f t="shared" si="39"/>
        <v/>
      </c>
      <c r="I223" s="91" t="str">
        <f t="shared" si="40"/>
        <v/>
      </c>
      <c r="J223" s="128"/>
      <c r="K223" s="128"/>
      <c r="L223" s="128"/>
      <c r="M223" s="95"/>
      <c r="O223" s="86" t="str">
        <f t="shared" si="41"/>
        <v/>
      </c>
      <c r="P223" s="86" t="str">
        <f t="shared" si="42"/>
        <v/>
      </c>
      <c r="Q223" s="86" t="str">
        <f t="shared" si="43"/>
        <v/>
      </c>
      <c r="R223" s="86" t="str">
        <f t="shared" si="44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7"/>
        <v/>
      </c>
      <c r="E224" s="96"/>
      <c r="F224" s="91" t="str">
        <f t="shared" si="38"/>
        <v/>
      </c>
      <c r="G224" s="129"/>
      <c r="H224" s="91" t="str">
        <f t="shared" si="39"/>
        <v/>
      </c>
      <c r="I224" s="91" t="str">
        <f t="shared" si="40"/>
        <v/>
      </c>
      <c r="J224" s="128"/>
      <c r="K224" s="128"/>
      <c r="L224" s="128"/>
      <c r="M224" s="95"/>
      <c r="O224" s="86" t="str">
        <f t="shared" si="41"/>
        <v/>
      </c>
      <c r="P224" s="86" t="str">
        <f t="shared" si="42"/>
        <v/>
      </c>
      <c r="Q224" s="86" t="str">
        <f t="shared" si="43"/>
        <v/>
      </c>
      <c r="R224" s="86" t="str">
        <f t="shared" si="44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7"/>
        <v/>
      </c>
      <c r="E225" s="96"/>
      <c r="F225" s="91" t="str">
        <f t="shared" si="38"/>
        <v/>
      </c>
      <c r="G225" s="129"/>
      <c r="H225" s="91" t="str">
        <f t="shared" si="39"/>
        <v/>
      </c>
      <c r="I225" s="91" t="str">
        <f t="shared" si="40"/>
        <v/>
      </c>
      <c r="J225" s="128"/>
      <c r="K225" s="128"/>
      <c r="L225" s="128"/>
      <c r="M225" s="95"/>
      <c r="O225" s="86" t="str">
        <f t="shared" si="41"/>
        <v/>
      </c>
      <c r="P225" s="86" t="str">
        <f t="shared" si="42"/>
        <v/>
      </c>
      <c r="Q225" s="86" t="str">
        <f t="shared" si="43"/>
        <v/>
      </c>
      <c r="R225" s="86" t="str">
        <f t="shared" si="44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7"/>
        <v/>
      </c>
      <c r="E226" s="96"/>
      <c r="F226" s="91" t="str">
        <f t="shared" si="38"/>
        <v/>
      </c>
      <c r="G226" s="129"/>
      <c r="H226" s="91" t="str">
        <f t="shared" si="39"/>
        <v/>
      </c>
      <c r="I226" s="91" t="str">
        <f t="shared" si="40"/>
        <v/>
      </c>
      <c r="J226" s="128"/>
      <c r="K226" s="128"/>
      <c r="L226" s="128"/>
      <c r="M226" s="95"/>
      <c r="O226" s="86" t="str">
        <f t="shared" si="41"/>
        <v/>
      </c>
      <c r="P226" s="86" t="str">
        <f t="shared" si="42"/>
        <v/>
      </c>
      <c r="Q226" s="86" t="str">
        <f t="shared" si="43"/>
        <v/>
      </c>
      <c r="R226" s="86" t="str">
        <f t="shared" si="44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7"/>
        <v/>
      </c>
      <c r="E227" s="96"/>
      <c r="F227" s="91" t="str">
        <f t="shared" si="38"/>
        <v/>
      </c>
      <c r="G227" s="129"/>
      <c r="H227" s="91" t="str">
        <f t="shared" si="39"/>
        <v/>
      </c>
      <c r="I227" s="91" t="str">
        <f t="shared" si="40"/>
        <v/>
      </c>
      <c r="J227" s="128"/>
      <c r="K227" s="128"/>
      <c r="L227" s="128"/>
      <c r="M227" s="95"/>
      <c r="O227" s="86" t="str">
        <f t="shared" si="41"/>
        <v/>
      </c>
      <c r="P227" s="86" t="str">
        <f t="shared" si="42"/>
        <v/>
      </c>
      <c r="Q227" s="86" t="str">
        <f t="shared" si="43"/>
        <v/>
      </c>
      <c r="R227" s="86" t="str">
        <f t="shared" si="44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7"/>
        <v/>
      </c>
      <c r="E228" s="96"/>
      <c r="F228" s="91" t="str">
        <f t="shared" si="38"/>
        <v/>
      </c>
      <c r="G228" s="129"/>
      <c r="H228" s="91" t="str">
        <f t="shared" si="39"/>
        <v/>
      </c>
      <c r="I228" s="91" t="str">
        <f t="shared" si="40"/>
        <v/>
      </c>
      <c r="J228" s="128"/>
      <c r="K228" s="128"/>
      <c r="L228" s="128"/>
      <c r="M228" s="95"/>
      <c r="O228" s="86" t="str">
        <f t="shared" si="41"/>
        <v/>
      </c>
      <c r="P228" s="86" t="str">
        <f t="shared" si="42"/>
        <v/>
      </c>
      <c r="Q228" s="86" t="str">
        <f t="shared" si="43"/>
        <v/>
      </c>
      <c r="R228" s="86" t="str">
        <f t="shared" si="44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7"/>
        <v/>
      </c>
      <c r="E229" s="96"/>
      <c r="F229" s="91" t="str">
        <f t="shared" si="38"/>
        <v/>
      </c>
      <c r="G229" s="129"/>
      <c r="H229" s="91" t="str">
        <f t="shared" si="39"/>
        <v/>
      </c>
      <c r="I229" s="91" t="str">
        <f t="shared" si="40"/>
        <v/>
      </c>
      <c r="J229" s="128"/>
      <c r="K229" s="128"/>
      <c r="L229" s="128"/>
      <c r="M229" s="95"/>
      <c r="O229" s="86" t="str">
        <f t="shared" si="41"/>
        <v/>
      </c>
      <c r="P229" s="86" t="str">
        <f t="shared" si="42"/>
        <v/>
      </c>
      <c r="Q229" s="86" t="str">
        <f t="shared" si="43"/>
        <v/>
      </c>
      <c r="R229" s="86" t="str">
        <f t="shared" si="44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7"/>
        <v/>
      </c>
      <c r="E230" s="96"/>
      <c r="F230" s="91" t="str">
        <f t="shared" si="38"/>
        <v/>
      </c>
      <c r="G230" s="129"/>
      <c r="H230" s="91" t="str">
        <f t="shared" si="39"/>
        <v/>
      </c>
      <c r="I230" s="91" t="str">
        <f t="shared" si="40"/>
        <v/>
      </c>
      <c r="J230" s="128"/>
      <c r="K230" s="128"/>
      <c r="L230" s="128"/>
      <c r="M230" s="95"/>
      <c r="O230" s="86" t="str">
        <f t="shared" si="41"/>
        <v/>
      </c>
      <c r="P230" s="86" t="str">
        <f t="shared" si="42"/>
        <v/>
      </c>
      <c r="Q230" s="86" t="str">
        <f t="shared" si="43"/>
        <v/>
      </c>
      <c r="R230" s="86" t="str">
        <f t="shared" si="44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7"/>
        <v/>
      </c>
      <c r="E231" s="96"/>
      <c r="F231" s="91" t="str">
        <f t="shared" si="38"/>
        <v/>
      </c>
      <c r="G231" s="129"/>
      <c r="H231" s="91" t="str">
        <f t="shared" si="39"/>
        <v/>
      </c>
      <c r="I231" s="91" t="str">
        <f t="shared" si="40"/>
        <v/>
      </c>
      <c r="J231" s="128"/>
      <c r="K231" s="128"/>
      <c r="L231" s="128"/>
      <c r="M231" s="95"/>
      <c r="O231" s="86" t="str">
        <f t="shared" si="41"/>
        <v/>
      </c>
      <c r="P231" s="86" t="str">
        <f t="shared" si="42"/>
        <v/>
      </c>
      <c r="Q231" s="86" t="str">
        <f t="shared" si="43"/>
        <v/>
      </c>
      <c r="R231" s="86" t="str">
        <f t="shared" si="44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7"/>
        <v/>
      </c>
      <c r="E232" s="96"/>
      <c r="F232" s="91" t="str">
        <f t="shared" si="38"/>
        <v/>
      </c>
      <c r="G232" s="129"/>
      <c r="H232" s="91" t="str">
        <f t="shared" si="39"/>
        <v/>
      </c>
      <c r="I232" s="91" t="str">
        <f t="shared" si="40"/>
        <v/>
      </c>
      <c r="J232" s="128"/>
      <c r="K232" s="128"/>
      <c r="L232" s="128"/>
      <c r="M232" s="95"/>
      <c r="O232" s="86" t="str">
        <f t="shared" si="41"/>
        <v/>
      </c>
      <c r="P232" s="86" t="str">
        <f t="shared" si="42"/>
        <v/>
      </c>
      <c r="Q232" s="86" t="str">
        <f t="shared" si="43"/>
        <v/>
      </c>
      <c r="R232" s="86" t="str">
        <f t="shared" si="44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7"/>
        <v/>
      </c>
      <c r="E233" s="96"/>
      <c r="F233" s="91" t="str">
        <f t="shared" si="38"/>
        <v/>
      </c>
      <c r="G233" s="129"/>
      <c r="H233" s="91" t="str">
        <f t="shared" si="39"/>
        <v/>
      </c>
      <c r="I233" s="91" t="str">
        <f t="shared" si="40"/>
        <v/>
      </c>
      <c r="J233" s="128"/>
      <c r="K233" s="128"/>
      <c r="L233" s="128"/>
      <c r="M233" s="95"/>
      <c r="O233" s="86" t="str">
        <f t="shared" si="41"/>
        <v/>
      </c>
      <c r="P233" s="86" t="str">
        <f t="shared" si="42"/>
        <v/>
      </c>
      <c r="Q233" s="86" t="str">
        <f t="shared" si="43"/>
        <v/>
      </c>
      <c r="R233" s="86" t="str">
        <f t="shared" si="44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7"/>
        <v/>
      </c>
      <c r="E234" s="96"/>
      <c r="F234" s="91" t="str">
        <f t="shared" si="38"/>
        <v/>
      </c>
      <c r="G234" s="129"/>
      <c r="H234" s="91" t="str">
        <f t="shared" si="39"/>
        <v/>
      </c>
      <c r="I234" s="91" t="str">
        <f t="shared" si="40"/>
        <v/>
      </c>
      <c r="J234" s="128"/>
      <c r="K234" s="128"/>
      <c r="L234" s="128"/>
      <c r="M234" s="95"/>
      <c r="O234" s="86" t="str">
        <f t="shared" si="41"/>
        <v/>
      </c>
      <c r="P234" s="86" t="str">
        <f t="shared" si="42"/>
        <v/>
      </c>
      <c r="Q234" s="86" t="str">
        <f t="shared" si="43"/>
        <v/>
      </c>
      <c r="R234" s="86" t="str">
        <f t="shared" si="44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7"/>
        <v/>
      </c>
      <c r="E235" s="96"/>
      <c r="F235" s="91" t="str">
        <f t="shared" si="38"/>
        <v/>
      </c>
      <c r="G235" s="129"/>
      <c r="H235" s="91" t="str">
        <f t="shared" si="39"/>
        <v/>
      </c>
      <c r="I235" s="91" t="str">
        <f t="shared" si="40"/>
        <v/>
      </c>
      <c r="J235" s="128"/>
      <c r="K235" s="128"/>
      <c r="L235" s="128"/>
      <c r="M235" s="95"/>
      <c r="O235" s="86" t="str">
        <f t="shared" si="41"/>
        <v/>
      </c>
      <c r="P235" s="86" t="str">
        <f t="shared" si="42"/>
        <v/>
      </c>
      <c r="Q235" s="86" t="str">
        <f t="shared" si="43"/>
        <v/>
      </c>
      <c r="R235" s="86" t="str">
        <f t="shared" si="44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7"/>
        <v/>
      </c>
      <c r="E236" s="96"/>
      <c r="F236" s="91" t="str">
        <f t="shared" si="38"/>
        <v/>
      </c>
      <c r="G236" s="129"/>
      <c r="H236" s="91" t="str">
        <f t="shared" si="39"/>
        <v/>
      </c>
      <c r="I236" s="91" t="str">
        <f t="shared" si="40"/>
        <v/>
      </c>
      <c r="J236" s="128"/>
      <c r="K236" s="128"/>
      <c r="L236" s="128"/>
      <c r="M236" s="95"/>
      <c r="O236" s="86" t="str">
        <f t="shared" si="41"/>
        <v/>
      </c>
      <c r="P236" s="86" t="str">
        <f t="shared" si="42"/>
        <v/>
      </c>
      <c r="Q236" s="86" t="str">
        <f t="shared" si="43"/>
        <v/>
      </c>
      <c r="R236" s="86" t="str">
        <f t="shared" si="44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7"/>
        <v/>
      </c>
      <c r="E237" s="96"/>
      <c r="F237" s="91" t="str">
        <f t="shared" si="38"/>
        <v/>
      </c>
      <c r="G237" s="129"/>
      <c r="H237" s="91" t="str">
        <f t="shared" si="39"/>
        <v/>
      </c>
      <c r="I237" s="91" t="str">
        <f t="shared" si="40"/>
        <v/>
      </c>
      <c r="J237" s="128"/>
      <c r="K237" s="128"/>
      <c r="L237" s="128"/>
      <c r="M237" s="95"/>
      <c r="O237" s="86" t="str">
        <f t="shared" si="41"/>
        <v/>
      </c>
      <c r="P237" s="86" t="str">
        <f t="shared" si="42"/>
        <v/>
      </c>
      <c r="Q237" s="86" t="str">
        <f t="shared" si="43"/>
        <v/>
      </c>
      <c r="R237" s="86" t="str">
        <f t="shared" si="44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7"/>
        <v/>
      </c>
      <c r="E238" s="96"/>
      <c r="F238" s="91" t="str">
        <f t="shared" si="38"/>
        <v/>
      </c>
      <c r="G238" s="129"/>
      <c r="H238" s="91" t="str">
        <f t="shared" si="39"/>
        <v/>
      </c>
      <c r="I238" s="91" t="str">
        <f t="shared" si="40"/>
        <v/>
      </c>
      <c r="J238" s="128"/>
      <c r="K238" s="128"/>
      <c r="L238" s="128"/>
      <c r="M238" s="95"/>
      <c r="O238" s="86" t="str">
        <f t="shared" si="41"/>
        <v/>
      </c>
      <c r="P238" s="86" t="str">
        <f t="shared" si="42"/>
        <v/>
      </c>
      <c r="Q238" s="86" t="str">
        <f t="shared" si="43"/>
        <v/>
      </c>
      <c r="R238" s="86" t="str">
        <f t="shared" si="44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7"/>
        <v/>
      </c>
      <c r="E239" s="96"/>
      <c r="F239" s="91" t="str">
        <f t="shared" si="38"/>
        <v/>
      </c>
      <c r="G239" s="129"/>
      <c r="H239" s="91" t="str">
        <f t="shared" si="39"/>
        <v/>
      </c>
      <c r="I239" s="91" t="str">
        <f t="shared" si="40"/>
        <v/>
      </c>
      <c r="J239" s="128"/>
      <c r="K239" s="128"/>
      <c r="L239" s="128"/>
      <c r="M239" s="95"/>
      <c r="O239" s="86" t="str">
        <f t="shared" si="41"/>
        <v/>
      </c>
      <c r="P239" s="86" t="str">
        <f t="shared" si="42"/>
        <v/>
      </c>
      <c r="Q239" s="86" t="str">
        <f t="shared" si="43"/>
        <v/>
      </c>
      <c r="R239" s="86" t="str">
        <f t="shared" si="44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7"/>
        <v/>
      </c>
      <c r="E240" s="96"/>
      <c r="F240" s="91" t="str">
        <f t="shared" si="38"/>
        <v/>
      </c>
      <c r="G240" s="129"/>
      <c r="H240" s="91" t="str">
        <f t="shared" si="39"/>
        <v/>
      </c>
      <c r="I240" s="91" t="str">
        <f t="shared" si="40"/>
        <v/>
      </c>
      <c r="J240" s="128"/>
      <c r="K240" s="128"/>
      <c r="L240" s="128"/>
      <c r="M240" s="95"/>
      <c r="O240" s="86" t="str">
        <f t="shared" si="41"/>
        <v/>
      </c>
      <c r="P240" s="86" t="str">
        <f t="shared" si="42"/>
        <v/>
      </c>
      <c r="Q240" s="86" t="str">
        <f t="shared" si="43"/>
        <v/>
      </c>
      <c r="R240" s="86" t="str">
        <f t="shared" si="44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7"/>
        <v/>
      </c>
      <c r="E241" s="96"/>
      <c r="F241" s="91" t="str">
        <f t="shared" si="38"/>
        <v/>
      </c>
      <c r="G241" s="129"/>
      <c r="H241" s="91" t="str">
        <f t="shared" si="39"/>
        <v/>
      </c>
      <c r="I241" s="91" t="str">
        <f t="shared" si="40"/>
        <v/>
      </c>
      <c r="J241" s="128"/>
      <c r="K241" s="128"/>
      <c r="L241" s="128"/>
      <c r="M241" s="95"/>
      <c r="O241" s="86" t="str">
        <f t="shared" si="41"/>
        <v/>
      </c>
      <c r="P241" s="86" t="str">
        <f t="shared" si="42"/>
        <v/>
      </c>
      <c r="Q241" s="86" t="str">
        <f t="shared" si="43"/>
        <v/>
      </c>
      <c r="R241" s="86" t="str">
        <f t="shared" si="44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7"/>
        <v/>
      </c>
      <c r="E242" s="96"/>
      <c r="F242" s="91" t="str">
        <f t="shared" si="38"/>
        <v/>
      </c>
      <c r="G242" s="129"/>
      <c r="H242" s="91" t="str">
        <f t="shared" si="39"/>
        <v/>
      </c>
      <c r="I242" s="91" t="str">
        <f t="shared" si="40"/>
        <v/>
      </c>
      <c r="J242" s="128"/>
      <c r="K242" s="128"/>
      <c r="L242" s="128"/>
      <c r="M242" s="95"/>
      <c r="O242" s="86" t="str">
        <f t="shared" si="41"/>
        <v/>
      </c>
      <c r="P242" s="86" t="str">
        <f t="shared" si="42"/>
        <v/>
      </c>
      <c r="Q242" s="86" t="str">
        <f t="shared" si="43"/>
        <v/>
      </c>
      <c r="R242" s="86" t="str">
        <f t="shared" si="44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7"/>
        <v/>
      </c>
      <c r="E243" s="96"/>
      <c r="F243" s="91" t="str">
        <f t="shared" si="38"/>
        <v/>
      </c>
      <c r="G243" s="129"/>
      <c r="H243" s="91" t="str">
        <f t="shared" si="39"/>
        <v/>
      </c>
      <c r="I243" s="91" t="str">
        <f t="shared" si="40"/>
        <v/>
      </c>
      <c r="J243" s="128"/>
      <c r="K243" s="128"/>
      <c r="L243" s="128"/>
      <c r="M243" s="95"/>
      <c r="O243" s="86" t="str">
        <f t="shared" si="41"/>
        <v/>
      </c>
      <c r="P243" s="86" t="str">
        <f t="shared" si="42"/>
        <v/>
      </c>
      <c r="Q243" s="86" t="str">
        <f t="shared" si="43"/>
        <v/>
      </c>
      <c r="R243" s="86" t="str">
        <f t="shared" si="44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7"/>
        <v/>
      </c>
      <c r="E244" s="96"/>
      <c r="F244" s="91" t="str">
        <f t="shared" si="38"/>
        <v/>
      </c>
      <c r="G244" s="129"/>
      <c r="H244" s="91" t="str">
        <f t="shared" si="39"/>
        <v/>
      </c>
      <c r="I244" s="91" t="str">
        <f t="shared" si="40"/>
        <v/>
      </c>
      <c r="J244" s="128"/>
      <c r="K244" s="128"/>
      <c r="L244" s="128"/>
      <c r="M244" s="95"/>
      <c r="O244" s="86" t="str">
        <f t="shared" si="41"/>
        <v/>
      </c>
      <c r="P244" s="86" t="str">
        <f t="shared" si="42"/>
        <v/>
      </c>
      <c r="Q244" s="86" t="str">
        <f t="shared" si="43"/>
        <v/>
      </c>
      <c r="R244" s="86" t="str">
        <f t="shared" si="44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7"/>
        <v/>
      </c>
      <c r="E245" s="96"/>
      <c r="F245" s="91" t="str">
        <f t="shared" si="38"/>
        <v/>
      </c>
      <c r="G245" s="129"/>
      <c r="H245" s="91" t="str">
        <f t="shared" si="39"/>
        <v/>
      </c>
      <c r="I245" s="91" t="str">
        <f t="shared" si="40"/>
        <v/>
      </c>
      <c r="J245" s="128"/>
      <c r="K245" s="128"/>
      <c r="L245" s="128"/>
      <c r="M245" s="95"/>
      <c r="O245" s="86" t="str">
        <f t="shared" si="41"/>
        <v/>
      </c>
      <c r="P245" s="86" t="str">
        <f t="shared" si="42"/>
        <v/>
      </c>
      <c r="Q245" s="86" t="str">
        <f t="shared" si="43"/>
        <v/>
      </c>
      <c r="R245" s="86" t="str">
        <f t="shared" si="44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7"/>
        <v/>
      </c>
      <c r="E246" s="96"/>
      <c r="F246" s="91" t="str">
        <f t="shared" si="38"/>
        <v/>
      </c>
      <c r="G246" s="129"/>
      <c r="H246" s="91" t="str">
        <f t="shared" si="39"/>
        <v/>
      </c>
      <c r="I246" s="91" t="str">
        <f t="shared" si="40"/>
        <v/>
      </c>
      <c r="J246" s="128"/>
      <c r="K246" s="128"/>
      <c r="L246" s="128"/>
      <c r="M246" s="95"/>
      <c r="O246" s="86" t="str">
        <f t="shared" si="41"/>
        <v/>
      </c>
      <c r="P246" s="86" t="str">
        <f t="shared" si="42"/>
        <v/>
      </c>
      <c r="Q246" s="86" t="str">
        <f t="shared" si="43"/>
        <v/>
      </c>
      <c r="R246" s="86" t="str">
        <f t="shared" si="44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7"/>
        <v/>
      </c>
      <c r="E247" s="96"/>
      <c r="F247" s="91" t="str">
        <f t="shared" si="38"/>
        <v/>
      </c>
      <c r="G247" s="129"/>
      <c r="H247" s="91" t="str">
        <f t="shared" si="39"/>
        <v/>
      </c>
      <c r="I247" s="91" t="str">
        <f t="shared" si="40"/>
        <v/>
      </c>
      <c r="J247" s="128"/>
      <c r="K247" s="128"/>
      <c r="L247" s="128"/>
      <c r="M247" s="95"/>
      <c r="O247" s="86" t="str">
        <f t="shared" si="41"/>
        <v/>
      </c>
      <c r="P247" s="86" t="str">
        <f t="shared" si="42"/>
        <v/>
      </c>
      <c r="Q247" s="86" t="str">
        <f t="shared" si="43"/>
        <v/>
      </c>
      <c r="R247" s="86" t="str">
        <f t="shared" si="44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7"/>
        <v/>
      </c>
      <c r="E248" s="96"/>
      <c r="F248" s="91" t="str">
        <f t="shared" si="38"/>
        <v/>
      </c>
      <c r="G248" s="129"/>
      <c r="H248" s="91" t="str">
        <f t="shared" si="39"/>
        <v/>
      </c>
      <c r="I248" s="91" t="str">
        <f t="shared" si="40"/>
        <v/>
      </c>
      <c r="J248" s="128"/>
      <c r="K248" s="128"/>
      <c r="L248" s="128"/>
      <c r="M248" s="95"/>
      <c r="O248" s="86" t="str">
        <f t="shared" si="41"/>
        <v/>
      </c>
      <c r="P248" s="86" t="str">
        <f t="shared" si="42"/>
        <v/>
      </c>
      <c r="Q248" s="86" t="str">
        <f t="shared" si="43"/>
        <v/>
      </c>
      <c r="R248" s="86" t="str">
        <f t="shared" si="44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7"/>
        <v/>
      </c>
      <c r="E249" s="96"/>
      <c r="F249" s="91" t="str">
        <f t="shared" si="38"/>
        <v/>
      </c>
      <c r="G249" s="129"/>
      <c r="H249" s="91" t="str">
        <f t="shared" si="39"/>
        <v/>
      </c>
      <c r="I249" s="91" t="str">
        <f t="shared" si="40"/>
        <v/>
      </c>
      <c r="J249" s="128"/>
      <c r="K249" s="128"/>
      <c r="L249" s="128"/>
      <c r="M249" s="95"/>
      <c r="O249" s="86" t="str">
        <f t="shared" si="41"/>
        <v/>
      </c>
      <c r="P249" s="86" t="str">
        <f t="shared" si="42"/>
        <v/>
      </c>
      <c r="Q249" s="86" t="str">
        <f t="shared" si="43"/>
        <v/>
      </c>
      <c r="R249" s="86" t="str">
        <f t="shared" si="44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7"/>
        <v/>
      </c>
      <c r="E250" s="96"/>
      <c r="F250" s="91" t="str">
        <f t="shared" si="38"/>
        <v/>
      </c>
      <c r="G250" s="129"/>
      <c r="H250" s="91" t="str">
        <f t="shared" si="39"/>
        <v/>
      </c>
      <c r="I250" s="91" t="str">
        <f t="shared" si="40"/>
        <v/>
      </c>
      <c r="J250" s="128"/>
      <c r="K250" s="128"/>
      <c r="L250" s="128"/>
      <c r="M250" s="95"/>
      <c r="O250" s="86" t="str">
        <f t="shared" si="41"/>
        <v/>
      </c>
      <c r="P250" s="86" t="str">
        <f t="shared" si="42"/>
        <v/>
      </c>
      <c r="Q250" s="86" t="str">
        <f t="shared" si="43"/>
        <v/>
      </c>
      <c r="R250" s="86" t="str">
        <f t="shared" si="44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7"/>
        <v/>
      </c>
      <c r="E251" s="96"/>
      <c r="F251" s="91" t="str">
        <f t="shared" si="38"/>
        <v/>
      </c>
      <c r="G251" s="129"/>
      <c r="H251" s="91" t="str">
        <f t="shared" si="39"/>
        <v/>
      </c>
      <c r="I251" s="91" t="str">
        <f t="shared" si="40"/>
        <v/>
      </c>
      <c r="J251" s="128"/>
      <c r="K251" s="128"/>
      <c r="L251" s="128"/>
      <c r="M251" s="95"/>
      <c r="O251" s="86" t="str">
        <f t="shared" si="41"/>
        <v/>
      </c>
      <c r="P251" s="86" t="str">
        <f t="shared" si="42"/>
        <v/>
      </c>
      <c r="Q251" s="86" t="str">
        <f t="shared" si="43"/>
        <v/>
      </c>
      <c r="R251" s="86" t="str">
        <f t="shared" si="44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7"/>
        <v/>
      </c>
      <c r="E252" s="96"/>
      <c r="F252" s="91" t="str">
        <f t="shared" si="38"/>
        <v/>
      </c>
      <c r="G252" s="129"/>
      <c r="H252" s="91" t="str">
        <f t="shared" si="39"/>
        <v/>
      </c>
      <c r="I252" s="91" t="str">
        <f t="shared" si="40"/>
        <v/>
      </c>
      <c r="J252" s="128"/>
      <c r="K252" s="128"/>
      <c r="L252" s="128"/>
      <c r="M252" s="95"/>
      <c r="O252" s="86" t="str">
        <f t="shared" si="41"/>
        <v/>
      </c>
      <c r="P252" s="86" t="str">
        <f t="shared" si="42"/>
        <v/>
      </c>
      <c r="Q252" s="86" t="str">
        <f t="shared" si="43"/>
        <v/>
      </c>
      <c r="R252" s="86" t="str">
        <f t="shared" si="44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7"/>
        <v/>
      </c>
      <c r="E253" s="96"/>
      <c r="F253" s="91" t="str">
        <f t="shared" si="38"/>
        <v/>
      </c>
      <c r="G253" s="129"/>
      <c r="H253" s="91" t="str">
        <f t="shared" si="39"/>
        <v/>
      </c>
      <c r="I253" s="91" t="str">
        <f t="shared" si="40"/>
        <v/>
      </c>
      <c r="J253" s="128"/>
      <c r="K253" s="128"/>
      <c r="L253" s="128"/>
      <c r="M253" s="95"/>
      <c r="O253" s="86" t="str">
        <f t="shared" si="41"/>
        <v/>
      </c>
      <c r="P253" s="86" t="str">
        <f t="shared" si="42"/>
        <v/>
      </c>
      <c r="Q253" s="86" t="str">
        <f t="shared" si="43"/>
        <v/>
      </c>
      <c r="R253" s="86" t="str">
        <f t="shared" si="44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7"/>
        <v/>
      </c>
      <c r="E254" s="96"/>
      <c r="F254" s="91" t="str">
        <f t="shared" si="38"/>
        <v/>
      </c>
      <c r="G254" s="129"/>
      <c r="H254" s="91" t="str">
        <f t="shared" si="39"/>
        <v/>
      </c>
      <c r="I254" s="91" t="str">
        <f t="shared" si="40"/>
        <v/>
      </c>
      <c r="J254" s="128"/>
      <c r="K254" s="128"/>
      <c r="L254" s="128"/>
      <c r="M254" s="95"/>
      <c r="O254" s="86" t="str">
        <f t="shared" si="41"/>
        <v/>
      </c>
      <c r="P254" s="86" t="str">
        <f t="shared" si="42"/>
        <v/>
      </c>
      <c r="Q254" s="86" t="str">
        <f t="shared" si="43"/>
        <v/>
      </c>
      <c r="R254" s="86" t="str">
        <f t="shared" si="44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7"/>
        <v/>
      </c>
      <c r="E255" s="96"/>
      <c r="F255" s="91" t="str">
        <f t="shared" si="38"/>
        <v/>
      </c>
      <c r="G255" s="129"/>
      <c r="H255" s="91" t="str">
        <f t="shared" si="39"/>
        <v/>
      </c>
      <c r="I255" s="91" t="str">
        <f t="shared" si="40"/>
        <v/>
      </c>
      <c r="J255" s="128"/>
      <c r="K255" s="128"/>
      <c r="L255" s="128"/>
      <c r="M255" s="95"/>
      <c r="O255" s="86" t="str">
        <f t="shared" si="41"/>
        <v/>
      </c>
      <c r="P255" s="86" t="str">
        <f t="shared" si="42"/>
        <v/>
      </c>
      <c r="Q255" s="86" t="str">
        <f t="shared" si="43"/>
        <v/>
      </c>
      <c r="R255" s="86" t="str">
        <f t="shared" si="44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7"/>
        <v/>
      </c>
      <c r="E256" s="96"/>
      <c r="F256" s="91" t="str">
        <f t="shared" si="38"/>
        <v/>
      </c>
      <c r="G256" s="129"/>
      <c r="H256" s="91" t="str">
        <f t="shared" si="39"/>
        <v/>
      </c>
      <c r="I256" s="91" t="str">
        <f t="shared" si="40"/>
        <v/>
      </c>
      <c r="J256" s="128"/>
      <c r="K256" s="128"/>
      <c r="L256" s="128"/>
      <c r="M256" s="95"/>
      <c r="O256" s="86" t="str">
        <f t="shared" si="41"/>
        <v/>
      </c>
      <c r="P256" s="86" t="str">
        <f t="shared" si="42"/>
        <v/>
      </c>
      <c r="Q256" s="86" t="str">
        <f t="shared" si="43"/>
        <v/>
      </c>
      <c r="R256" s="86" t="str">
        <f t="shared" si="44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7"/>
        <v/>
      </c>
      <c r="E257" s="96"/>
      <c r="F257" s="91" t="str">
        <f t="shared" si="38"/>
        <v/>
      </c>
      <c r="G257" s="129"/>
      <c r="H257" s="91" t="str">
        <f t="shared" si="39"/>
        <v/>
      </c>
      <c r="I257" s="91" t="str">
        <f t="shared" si="40"/>
        <v/>
      </c>
      <c r="J257" s="128"/>
      <c r="K257" s="128"/>
      <c r="L257" s="128"/>
      <c r="M257" s="95"/>
      <c r="O257" s="86" t="str">
        <f t="shared" si="41"/>
        <v/>
      </c>
      <c r="P257" s="86" t="str">
        <f t="shared" si="42"/>
        <v/>
      </c>
      <c r="Q257" s="86" t="str">
        <f t="shared" si="43"/>
        <v/>
      </c>
      <c r="R257" s="86" t="str">
        <f t="shared" si="44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7"/>
        <v/>
      </c>
      <c r="E258" s="96"/>
      <c r="F258" s="91" t="str">
        <f t="shared" si="38"/>
        <v/>
      </c>
      <c r="G258" s="129"/>
      <c r="H258" s="91" t="str">
        <f t="shared" si="39"/>
        <v/>
      </c>
      <c r="I258" s="91" t="str">
        <f t="shared" si="40"/>
        <v/>
      </c>
      <c r="J258" s="128"/>
      <c r="K258" s="128"/>
      <c r="L258" s="128"/>
      <c r="M258" s="95"/>
      <c r="O258" s="86" t="str">
        <f t="shared" si="41"/>
        <v/>
      </c>
      <c r="P258" s="86" t="str">
        <f t="shared" si="42"/>
        <v/>
      </c>
      <c r="Q258" s="86" t="str">
        <f t="shared" si="43"/>
        <v/>
      </c>
      <c r="R258" s="86" t="str">
        <f t="shared" si="44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5">IFERROR(VLOOKUP(C259,$S$6:$T$24,2,FALSE),"")</f>
        <v/>
      </c>
      <c r="E259" s="96"/>
      <c r="F259" s="91" t="str">
        <f t="shared" si="38"/>
        <v/>
      </c>
      <c r="G259" s="129"/>
      <c r="H259" s="91" t="str">
        <f t="shared" si="39"/>
        <v/>
      </c>
      <c r="I259" s="91" t="str">
        <f t="shared" si="40"/>
        <v/>
      </c>
      <c r="J259" s="128"/>
      <c r="K259" s="128"/>
      <c r="L259" s="128"/>
      <c r="M259" s="95"/>
      <c r="O259" s="86" t="str">
        <f t="shared" si="41"/>
        <v/>
      </c>
      <c r="P259" s="86" t="str">
        <f t="shared" si="42"/>
        <v/>
      </c>
      <c r="Q259" s="86" t="str">
        <f t="shared" si="43"/>
        <v/>
      </c>
      <c r="R259" s="86" t="str">
        <f t="shared" si="44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5"/>
        <v/>
      </c>
      <c r="E260" s="96"/>
      <c r="F260" s="91" t="str">
        <f t="shared" ref="F260:F323" si="46">IFERROR(VLOOKUP(E260,$V$5:$X$129,2,FALSE),"")</f>
        <v/>
      </c>
      <c r="G260" s="129"/>
      <c r="H260" s="91" t="str">
        <f t="shared" ref="H260:H323" si="47">IFERROR(VLOOKUP(G260,$AB$6:$AC$327,2,FALSE),"")</f>
        <v/>
      </c>
      <c r="I260" s="91" t="str">
        <f t="shared" ref="I260:I323" si="48">IFERROR(VLOOKUP(G260,$AB$6:$AF$327,3,FALSE),"")</f>
        <v/>
      </c>
      <c r="J260" s="128"/>
      <c r="K260" s="128"/>
      <c r="L260" s="128"/>
      <c r="M260" s="95"/>
      <c r="O260" s="86" t="str">
        <f t="shared" ref="O260:O323" si="49">LEFT(E260,3)</f>
        <v/>
      </c>
      <c r="P260" s="86" t="str">
        <f t="shared" ref="P260:P323" si="50">LEFT(E260,2)</f>
        <v/>
      </c>
      <c r="Q260" s="86" t="str">
        <f t="shared" ref="Q260:Q323" si="51">LEFT(C260,3)</f>
        <v/>
      </c>
      <c r="R260" s="86" t="str">
        <f t="shared" ref="R260:R323" si="52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5"/>
        <v/>
      </c>
      <c r="E261" s="96"/>
      <c r="F261" s="91" t="str">
        <f t="shared" si="46"/>
        <v/>
      </c>
      <c r="G261" s="129"/>
      <c r="H261" s="91" t="str">
        <f t="shared" si="47"/>
        <v/>
      </c>
      <c r="I261" s="91" t="str">
        <f t="shared" si="48"/>
        <v/>
      </c>
      <c r="J261" s="128"/>
      <c r="K261" s="128"/>
      <c r="L261" s="128"/>
      <c r="M261" s="95"/>
      <c r="O261" s="86" t="str">
        <f t="shared" si="49"/>
        <v/>
      </c>
      <c r="P261" s="86" t="str">
        <f t="shared" si="50"/>
        <v/>
      </c>
      <c r="Q261" s="86" t="str">
        <f t="shared" si="51"/>
        <v/>
      </c>
      <c r="R261" s="86" t="str">
        <f t="shared" si="52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5"/>
        <v/>
      </c>
      <c r="E262" s="96"/>
      <c r="F262" s="91" t="str">
        <f t="shared" si="46"/>
        <v/>
      </c>
      <c r="G262" s="129"/>
      <c r="H262" s="91" t="str">
        <f t="shared" si="47"/>
        <v/>
      </c>
      <c r="I262" s="91" t="str">
        <f t="shared" si="48"/>
        <v/>
      </c>
      <c r="J262" s="128"/>
      <c r="K262" s="128"/>
      <c r="L262" s="128"/>
      <c r="M262" s="95"/>
      <c r="O262" s="86" t="str">
        <f t="shared" si="49"/>
        <v/>
      </c>
      <c r="P262" s="86" t="str">
        <f t="shared" si="50"/>
        <v/>
      </c>
      <c r="Q262" s="86" t="str">
        <f t="shared" si="51"/>
        <v/>
      </c>
      <c r="R262" s="86" t="str">
        <f t="shared" si="52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5"/>
        <v/>
      </c>
      <c r="E263" s="96"/>
      <c r="F263" s="91" t="str">
        <f t="shared" si="46"/>
        <v/>
      </c>
      <c r="G263" s="129"/>
      <c r="H263" s="91" t="str">
        <f t="shared" si="47"/>
        <v/>
      </c>
      <c r="I263" s="91" t="str">
        <f t="shared" si="48"/>
        <v/>
      </c>
      <c r="J263" s="128"/>
      <c r="K263" s="128"/>
      <c r="L263" s="128"/>
      <c r="M263" s="95"/>
      <c r="O263" s="86" t="str">
        <f t="shared" si="49"/>
        <v/>
      </c>
      <c r="P263" s="86" t="str">
        <f t="shared" si="50"/>
        <v/>
      </c>
      <c r="Q263" s="86" t="str">
        <f t="shared" si="51"/>
        <v/>
      </c>
      <c r="R263" s="86" t="str">
        <f t="shared" si="52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5"/>
        <v/>
      </c>
      <c r="E264" s="96"/>
      <c r="F264" s="91" t="str">
        <f t="shared" si="46"/>
        <v/>
      </c>
      <c r="G264" s="129"/>
      <c r="H264" s="91" t="str">
        <f t="shared" si="47"/>
        <v/>
      </c>
      <c r="I264" s="91" t="str">
        <f t="shared" si="48"/>
        <v/>
      </c>
      <c r="J264" s="128"/>
      <c r="K264" s="128"/>
      <c r="L264" s="128"/>
      <c r="M264" s="95"/>
      <c r="O264" s="86" t="str">
        <f t="shared" si="49"/>
        <v/>
      </c>
      <c r="P264" s="86" t="str">
        <f t="shared" si="50"/>
        <v/>
      </c>
      <c r="Q264" s="86" t="str">
        <f t="shared" si="51"/>
        <v/>
      </c>
      <c r="R264" s="86" t="str">
        <f t="shared" si="52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5"/>
        <v/>
      </c>
      <c r="E265" s="96"/>
      <c r="F265" s="91" t="str">
        <f t="shared" si="46"/>
        <v/>
      </c>
      <c r="G265" s="129"/>
      <c r="H265" s="91" t="str">
        <f t="shared" si="47"/>
        <v/>
      </c>
      <c r="I265" s="91" t="str">
        <f t="shared" si="48"/>
        <v/>
      </c>
      <c r="J265" s="128"/>
      <c r="K265" s="128"/>
      <c r="L265" s="128"/>
      <c r="M265" s="95"/>
      <c r="O265" s="86" t="str">
        <f t="shared" si="49"/>
        <v/>
      </c>
      <c r="P265" s="86" t="str">
        <f t="shared" si="50"/>
        <v/>
      </c>
      <c r="Q265" s="86" t="str">
        <f t="shared" si="51"/>
        <v/>
      </c>
      <c r="R265" s="86" t="str">
        <f t="shared" si="52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5"/>
        <v/>
      </c>
      <c r="E266" s="96"/>
      <c r="F266" s="91" t="str">
        <f t="shared" si="46"/>
        <v/>
      </c>
      <c r="G266" s="129"/>
      <c r="H266" s="91" t="str">
        <f t="shared" si="47"/>
        <v/>
      </c>
      <c r="I266" s="91" t="str">
        <f t="shared" si="48"/>
        <v/>
      </c>
      <c r="J266" s="128"/>
      <c r="K266" s="128"/>
      <c r="L266" s="128"/>
      <c r="M266" s="95"/>
      <c r="O266" s="86" t="str">
        <f t="shared" si="49"/>
        <v/>
      </c>
      <c r="P266" s="86" t="str">
        <f t="shared" si="50"/>
        <v/>
      </c>
      <c r="Q266" s="86" t="str">
        <f t="shared" si="51"/>
        <v/>
      </c>
      <c r="R266" s="86" t="str">
        <f t="shared" si="52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5"/>
        <v/>
      </c>
      <c r="E267" s="96"/>
      <c r="F267" s="91" t="str">
        <f t="shared" si="46"/>
        <v/>
      </c>
      <c r="G267" s="129"/>
      <c r="H267" s="91" t="str">
        <f t="shared" si="47"/>
        <v/>
      </c>
      <c r="I267" s="91" t="str">
        <f t="shared" si="48"/>
        <v/>
      </c>
      <c r="J267" s="128"/>
      <c r="K267" s="128"/>
      <c r="L267" s="128"/>
      <c r="M267" s="95"/>
      <c r="O267" s="86" t="str">
        <f t="shared" si="49"/>
        <v/>
      </c>
      <c r="P267" s="86" t="str">
        <f t="shared" si="50"/>
        <v/>
      </c>
      <c r="Q267" s="86" t="str">
        <f t="shared" si="51"/>
        <v/>
      </c>
      <c r="R267" s="86" t="str">
        <f t="shared" si="52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5"/>
        <v/>
      </c>
      <c r="E268" s="96"/>
      <c r="F268" s="91" t="str">
        <f t="shared" si="46"/>
        <v/>
      </c>
      <c r="G268" s="129"/>
      <c r="H268" s="91" t="str">
        <f t="shared" si="47"/>
        <v/>
      </c>
      <c r="I268" s="91" t="str">
        <f t="shared" si="48"/>
        <v/>
      </c>
      <c r="J268" s="128"/>
      <c r="K268" s="128"/>
      <c r="L268" s="128"/>
      <c r="M268" s="95"/>
      <c r="O268" s="86" t="str">
        <f t="shared" si="49"/>
        <v/>
      </c>
      <c r="P268" s="86" t="str">
        <f t="shared" si="50"/>
        <v/>
      </c>
      <c r="Q268" s="86" t="str">
        <f t="shared" si="51"/>
        <v/>
      </c>
      <c r="R268" s="86" t="str">
        <f t="shared" si="52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5"/>
        <v/>
      </c>
      <c r="E269" s="96"/>
      <c r="F269" s="91" t="str">
        <f t="shared" si="46"/>
        <v/>
      </c>
      <c r="G269" s="129"/>
      <c r="H269" s="91" t="str">
        <f t="shared" si="47"/>
        <v/>
      </c>
      <c r="I269" s="91" t="str">
        <f t="shared" si="48"/>
        <v/>
      </c>
      <c r="J269" s="128"/>
      <c r="K269" s="128"/>
      <c r="L269" s="128"/>
      <c r="M269" s="95"/>
      <c r="O269" s="86" t="str">
        <f t="shared" si="49"/>
        <v/>
      </c>
      <c r="P269" s="86" t="str">
        <f t="shared" si="50"/>
        <v/>
      </c>
      <c r="Q269" s="86" t="str">
        <f t="shared" si="51"/>
        <v/>
      </c>
      <c r="R269" s="86" t="str">
        <f t="shared" si="52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5"/>
        <v/>
      </c>
      <c r="E270" s="96"/>
      <c r="F270" s="91" t="str">
        <f t="shared" si="46"/>
        <v/>
      </c>
      <c r="G270" s="129"/>
      <c r="H270" s="91" t="str">
        <f t="shared" si="47"/>
        <v/>
      </c>
      <c r="I270" s="91" t="str">
        <f t="shared" si="48"/>
        <v/>
      </c>
      <c r="J270" s="128"/>
      <c r="K270" s="128"/>
      <c r="L270" s="128"/>
      <c r="M270" s="95"/>
      <c r="O270" s="86" t="str">
        <f t="shared" si="49"/>
        <v/>
      </c>
      <c r="P270" s="86" t="str">
        <f t="shared" si="50"/>
        <v/>
      </c>
      <c r="Q270" s="86" t="str">
        <f t="shared" si="51"/>
        <v/>
      </c>
      <c r="R270" s="86" t="str">
        <f t="shared" si="52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5"/>
        <v/>
      </c>
      <c r="E271" s="96"/>
      <c r="F271" s="91" t="str">
        <f t="shared" si="46"/>
        <v/>
      </c>
      <c r="G271" s="129"/>
      <c r="H271" s="91" t="str">
        <f t="shared" si="47"/>
        <v/>
      </c>
      <c r="I271" s="91" t="str">
        <f t="shared" si="48"/>
        <v/>
      </c>
      <c r="J271" s="128"/>
      <c r="K271" s="128"/>
      <c r="L271" s="128"/>
      <c r="M271" s="95"/>
      <c r="O271" s="86" t="str">
        <f t="shared" si="49"/>
        <v/>
      </c>
      <c r="P271" s="86" t="str">
        <f t="shared" si="50"/>
        <v/>
      </c>
      <c r="Q271" s="86" t="str">
        <f t="shared" si="51"/>
        <v/>
      </c>
      <c r="R271" s="86" t="str">
        <f t="shared" si="52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5"/>
        <v/>
      </c>
      <c r="E272" s="96"/>
      <c r="F272" s="91" t="str">
        <f t="shared" si="46"/>
        <v/>
      </c>
      <c r="G272" s="129"/>
      <c r="H272" s="91" t="str">
        <f t="shared" si="47"/>
        <v/>
      </c>
      <c r="I272" s="91" t="str">
        <f t="shared" si="48"/>
        <v/>
      </c>
      <c r="J272" s="128"/>
      <c r="K272" s="128"/>
      <c r="L272" s="128"/>
      <c r="M272" s="95"/>
      <c r="O272" s="86" t="str">
        <f t="shared" si="49"/>
        <v/>
      </c>
      <c r="P272" s="86" t="str">
        <f t="shared" si="50"/>
        <v/>
      </c>
      <c r="Q272" s="86" t="str">
        <f t="shared" si="51"/>
        <v/>
      </c>
      <c r="R272" s="86" t="str">
        <f t="shared" si="52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5"/>
        <v/>
      </c>
      <c r="E273" s="96"/>
      <c r="F273" s="91" t="str">
        <f t="shared" si="46"/>
        <v/>
      </c>
      <c r="G273" s="129"/>
      <c r="H273" s="91" t="str">
        <f t="shared" si="47"/>
        <v/>
      </c>
      <c r="I273" s="91" t="str">
        <f t="shared" si="48"/>
        <v/>
      </c>
      <c r="J273" s="128"/>
      <c r="K273" s="128"/>
      <c r="L273" s="128"/>
      <c r="M273" s="95"/>
      <c r="O273" s="86" t="str">
        <f t="shared" si="49"/>
        <v/>
      </c>
      <c r="P273" s="86" t="str">
        <f t="shared" si="50"/>
        <v/>
      </c>
      <c r="Q273" s="86" t="str">
        <f t="shared" si="51"/>
        <v/>
      </c>
      <c r="R273" s="86" t="str">
        <f t="shared" si="52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5"/>
        <v/>
      </c>
      <c r="E274" s="96"/>
      <c r="F274" s="91" t="str">
        <f t="shared" si="46"/>
        <v/>
      </c>
      <c r="G274" s="129"/>
      <c r="H274" s="91" t="str">
        <f t="shared" si="47"/>
        <v/>
      </c>
      <c r="I274" s="91" t="str">
        <f t="shared" si="48"/>
        <v/>
      </c>
      <c r="J274" s="128"/>
      <c r="K274" s="128"/>
      <c r="L274" s="128"/>
      <c r="M274" s="95"/>
      <c r="O274" s="86" t="str">
        <f t="shared" si="49"/>
        <v/>
      </c>
      <c r="P274" s="86" t="str">
        <f t="shared" si="50"/>
        <v/>
      </c>
      <c r="Q274" s="86" t="str">
        <f t="shared" si="51"/>
        <v/>
      </c>
      <c r="R274" s="86" t="str">
        <f t="shared" si="52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5"/>
        <v/>
      </c>
      <c r="E275" s="96"/>
      <c r="F275" s="91" t="str">
        <f t="shared" si="46"/>
        <v/>
      </c>
      <c r="G275" s="129"/>
      <c r="H275" s="91" t="str">
        <f t="shared" si="47"/>
        <v/>
      </c>
      <c r="I275" s="91" t="str">
        <f t="shared" si="48"/>
        <v/>
      </c>
      <c r="J275" s="128"/>
      <c r="K275" s="128"/>
      <c r="L275" s="128"/>
      <c r="M275" s="95"/>
      <c r="O275" s="86" t="str">
        <f t="shared" si="49"/>
        <v/>
      </c>
      <c r="P275" s="86" t="str">
        <f t="shared" si="50"/>
        <v/>
      </c>
      <c r="Q275" s="86" t="str">
        <f t="shared" si="51"/>
        <v/>
      </c>
      <c r="R275" s="86" t="str">
        <f t="shared" si="52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5"/>
        <v/>
      </c>
      <c r="E276" s="96"/>
      <c r="F276" s="91" t="str">
        <f t="shared" si="46"/>
        <v/>
      </c>
      <c r="G276" s="129"/>
      <c r="H276" s="91" t="str">
        <f t="shared" si="47"/>
        <v/>
      </c>
      <c r="I276" s="91" t="str">
        <f t="shared" si="48"/>
        <v/>
      </c>
      <c r="J276" s="128"/>
      <c r="K276" s="128"/>
      <c r="L276" s="128"/>
      <c r="M276" s="95"/>
      <c r="O276" s="86" t="str">
        <f t="shared" si="49"/>
        <v/>
      </c>
      <c r="P276" s="86" t="str">
        <f t="shared" si="50"/>
        <v/>
      </c>
      <c r="Q276" s="86" t="str">
        <f t="shared" si="51"/>
        <v/>
      </c>
      <c r="R276" s="86" t="str">
        <f t="shared" si="52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5"/>
        <v/>
      </c>
      <c r="E277" s="96"/>
      <c r="F277" s="91" t="str">
        <f t="shared" si="46"/>
        <v/>
      </c>
      <c r="G277" s="129"/>
      <c r="H277" s="91" t="str">
        <f t="shared" si="47"/>
        <v/>
      </c>
      <c r="I277" s="91" t="str">
        <f t="shared" si="48"/>
        <v/>
      </c>
      <c r="J277" s="128"/>
      <c r="K277" s="128"/>
      <c r="L277" s="128"/>
      <c r="M277" s="95"/>
      <c r="O277" s="86" t="str">
        <f t="shared" si="49"/>
        <v/>
      </c>
      <c r="P277" s="86" t="str">
        <f t="shared" si="50"/>
        <v/>
      </c>
      <c r="Q277" s="86" t="str">
        <f t="shared" si="51"/>
        <v/>
      </c>
      <c r="R277" s="86" t="str">
        <f t="shared" si="52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5"/>
        <v/>
      </c>
      <c r="E278" s="96"/>
      <c r="F278" s="91" t="str">
        <f t="shared" si="46"/>
        <v/>
      </c>
      <c r="G278" s="129"/>
      <c r="H278" s="91" t="str">
        <f t="shared" si="47"/>
        <v/>
      </c>
      <c r="I278" s="91" t="str">
        <f t="shared" si="48"/>
        <v/>
      </c>
      <c r="J278" s="128"/>
      <c r="K278" s="128"/>
      <c r="L278" s="128"/>
      <c r="M278" s="95"/>
      <c r="O278" s="86" t="str">
        <f t="shared" si="49"/>
        <v/>
      </c>
      <c r="P278" s="86" t="str">
        <f t="shared" si="50"/>
        <v/>
      </c>
      <c r="Q278" s="86" t="str">
        <f t="shared" si="51"/>
        <v/>
      </c>
      <c r="R278" s="86" t="str">
        <f t="shared" si="52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5"/>
        <v/>
      </c>
      <c r="E279" s="96"/>
      <c r="F279" s="91" t="str">
        <f t="shared" si="46"/>
        <v/>
      </c>
      <c r="G279" s="129"/>
      <c r="H279" s="91" t="str">
        <f t="shared" si="47"/>
        <v/>
      </c>
      <c r="I279" s="91" t="str">
        <f t="shared" si="48"/>
        <v/>
      </c>
      <c r="J279" s="128"/>
      <c r="K279" s="128"/>
      <c r="L279" s="128"/>
      <c r="M279" s="95"/>
      <c r="O279" s="86" t="str">
        <f t="shared" si="49"/>
        <v/>
      </c>
      <c r="P279" s="86" t="str">
        <f t="shared" si="50"/>
        <v/>
      </c>
      <c r="Q279" s="86" t="str">
        <f t="shared" si="51"/>
        <v/>
      </c>
      <c r="R279" s="86" t="str">
        <f t="shared" si="52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5"/>
        <v/>
      </c>
      <c r="E280" s="96"/>
      <c r="F280" s="91" t="str">
        <f t="shared" si="46"/>
        <v/>
      </c>
      <c r="G280" s="129"/>
      <c r="H280" s="91" t="str">
        <f t="shared" si="47"/>
        <v/>
      </c>
      <c r="I280" s="91" t="str">
        <f t="shared" si="48"/>
        <v/>
      </c>
      <c r="J280" s="128"/>
      <c r="K280" s="128"/>
      <c r="L280" s="128"/>
      <c r="M280" s="95"/>
      <c r="O280" s="86" t="str">
        <f t="shared" si="49"/>
        <v/>
      </c>
      <c r="P280" s="86" t="str">
        <f t="shared" si="50"/>
        <v/>
      </c>
      <c r="Q280" s="86" t="str">
        <f t="shared" si="51"/>
        <v/>
      </c>
      <c r="R280" s="86" t="str">
        <f t="shared" si="52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5"/>
        <v/>
      </c>
      <c r="E281" s="96"/>
      <c r="F281" s="91" t="str">
        <f t="shared" si="46"/>
        <v/>
      </c>
      <c r="G281" s="129"/>
      <c r="H281" s="91" t="str">
        <f t="shared" si="47"/>
        <v/>
      </c>
      <c r="I281" s="91" t="str">
        <f t="shared" si="48"/>
        <v/>
      </c>
      <c r="J281" s="128"/>
      <c r="K281" s="128"/>
      <c r="L281" s="128"/>
      <c r="M281" s="95"/>
      <c r="O281" s="86" t="str">
        <f t="shared" si="49"/>
        <v/>
      </c>
      <c r="P281" s="86" t="str">
        <f t="shared" si="50"/>
        <v/>
      </c>
      <c r="Q281" s="86" t="str">
        <f t="shared" si="51"/>
        <v/>
      </c>
      <c r="R281" s="86" t="str">
        <f t="shared" si="52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5"/>
        <v/>
      </c>
      <c r="E282" s="96"/>
      <c r="F282" s="91" t="str">
        <f t="shared" si="46"/>
        <v/>
      </c>
      <c r="G282" s="129"/>
      <c r="H282" s="91" t="str">
        <f t="shared" si="47"/>
        <v/>
      </c>
      <c r="I282" s="91" t="str">
        <f t="shared" si="48"/>
        <v/>
      </c>
      <c r="J282" s="128"/>
      <c r="K282" s="128"/>
      <c r="L282" s="128"/>
      <c r="M282" s="95"/>
      <c r="O282" s="86" t="str">
        <f t="shared" si="49"/>
        <v/>
      </c>
      <c r="P282" s="86" t="str">
        <f t="shared" si="50"/>
        <v/>
      </c>
      <c r="Q282" s="86" t="str">
        <f t="shared" si="51"/>
        <v/>
      </c>
      <c r="R282" s="86" t="str">
        <f t="shared" si="52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5"/>
        <v/>
      </c>
      <c r="E283" s="96"/>
      <c r="F283" s="91" t="str">
        <f t="shared" si="46"/>
        <v/>
      </c>
      <c r="G283" s="129"/>
      <c r="H283" s="91" t="str">
        <f t="shared" si="47"/>
        <v/>
      </c>
      <c r="I283" s="91" t="str">
        <f t="shared" si="48"/>
        <v/>
      </c>
      <c r="J283" s="128"/>
      <c r="K283" s="128"/>
      <c r="L283" s="128"/>
      <c r="M283" s="95"/>
      <c r="O283" s="86" t="str">
        <f t="shared" si="49"/>
        <v/>
      </c>
      <c r="P283" s="86" t="str">
        <f t="shared" si="50"/>
        <v/>
      </c>
      <c r="Q283" s="86" t="str">
        <f t="shared" si="51"/>
        <v/>
      </c>
      <c r="R283" s="86" t="str">
        <f t="shared" si="52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5"/>
        <v/>
      </c>
      <c r="E284" s="96"/>
      <c r="F284" s="91" t="str">
        <f t="shared" si="46"/>
        <v/>
      </c>
      <c r="G284" s="129"/>
      <c r="H284" s="91" t="str">
        <f t="shared" si="47"/>
        <v/>
      </c>
      <c r="I284" s="91" t="str">
        <f t="shared" si="48"/>
        <v/>
      </c>
      <c r="J284" s="128"/>
      <c r="K284" s="128"/>
      <c r="L284" s="128"/>
      <c r="M284" s="95"/>
      <c r="O284" s="86" t="str">
        <f t="shared" si="49"/>
        <v/>
      </c>
      <c r="P284" s="86" t="str">
        <f t="shared" si="50"/>
        <v/>
      </c>
      <c r="Q284" s="86" t="str">
        <f t="shared" si="51"/>
        <v/>
      </c>
      <c r="R284" s="86" t="str">
        <f t="shared" si="52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5"/>
        <v/>
      </c>
      <c r="E285" s="96"/>
      <c r="F285" s="91" t="str">
        <f t="shared" si="46"/>
        <v/>
      </c>
      <c r="G285" s="129"/>
      <c r="H285" s="91" t="str">
        <f t="shared" si="47"/>
        <v/>
      </c>
      <c r="I285" s="91" t="str">
        <f t="shared" si="48"/>
        <v/>
      </c>
      <c r="J285" s="128"/>
      <c r="K285" s="128"/>
      <c r="L285" s="128"/>
      <c r="M285" s="95"/>
      <c r="O285" s="86" t="str">
        <f t="shared" si="49"/>
        <v/>
      </c>
      <c r="P285" s="86" t="str">
        <f t="shared" si="50"/>
        <v/>
      </c>
      <c r="Q285" s="86" t="str">
        <f t="shared" si="51"/>
        <v/>
      </c>
      <c r="R285" s="86" t="str">
        <f t="shared" si="52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5"/>
        <v/>
      </c>
      <c r="E286" s="96"/>
      <c r="F286" s="91" t="str">
        <f t="shared" si="46"/>
        <v/>
      </c>
      <c r="G286" s="129"/>
      <c r="H286" s="91" t="str">
        <f t="shared" si="47"/>
        <v/>
      </c>
      <c r="I286" s="91" t="str">
        <f t="shared" si="48"/>
        <v/>
      </c>
      <c r="J286" s="128"/>
      <c r="K286" s="128"/>
      <c r="L286" s="128"/>
      <c r="M286" s="95"/>
      <c r="O286" s="86" t="str">
        <f t="shared" si="49"/>
        <v/>
      </c>
      <c r="P286" s="86" t="str">
        <f t="shared" si="50"/>
        <v/>
      </c>
      <c r="Q286" s="86" t="str">
        <f t="shared" si="51"/>
        <v/>
      </c>
      <c r="R286" s="86" t="str">
        <f t="shared" si="52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5"/>
        <v/>
      </c>
      <c r="E287" s="96"/>
      <c r="F287" s="91" t="str">
        <f t="shared" si="46"/>
        <v/>
      </c>
      <c r="G287" s="129"/>
      <c r="H287" s="91" t="str">
        <f t="shared" si="47"/>
        <v/>
      </c>
      <c r="I287" s="91" t="str">
        <f t="shared" si="48"/>
        <v/>
      </c>
      <c r="J287" s="128"/>
      <c r="K287" s="128"/>
      <c r="L287" s="128"/>
      <c r="M287" s="95"/>
      <c r="O287" s="86" t="str">
        <f t="shared" si="49"/>
        <v/>
      </c>
      <c r="P287" s="86" t="str">
        <f t="shared" si="50"/>
        <v/>
      </c>
      <c r="Q287" s="86" t="str">
        <f t="shared" si="51"/>
        <v/>
      </c>
      <c r="R287" s="86" t="str">
        <f t="shared" si="52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5"/>
        <v/>
      </c>
      <c r="E288" s="96"/>
      <c r="F288" s="91" t="str">
        <f t="shared" si="46"/>
        <v/>
      </c>
      <c r="G288" s="129"/>
      <c r="H288" s="91" t="str">
        <f t="shared" si="47"/>
        <v/>
      </c>
      <c r="I288" s="91" t="str">
        <f t="shared" si="48"/>
        <v/>
      </c>
      <c r="J288" s="128"/>
      <c r="K288" s="128"/>
      <c r="L288" s="128"/>
      <c r="M288" s="95"/>
      <c r="O288" s="86" t="str">
        <f t="shared" si="49"/>
        <v/>
      </c>
      <c r="P288" s="86" t="str">
        <f t="shared" si="50"/>
        <v/>
      </c>
      <c r="Q288" s="86" t="str">
        <f t="shared" si="51"/>
        <v/>
      </c>
      <c r="R288" s="86" t="str">
        <f t="shared" si="52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5"/>
        <v/>
      </c>
      <c r="E289" s="96"/>
      <c r="F289" s="91" t="str">
        <f t="shared" si="46"/>
        <v/>
      </c>
      <c r="G289" s="129"/>
      <c r="H289" s="91" t="str">
        <f t="shared" si="47"/>
        <v/>
      </c>
      <c r="I289" s="91" t="str">
        <f t="shared" si="48"/>
        <v/>
      </c>
      <c r="J289" s="128"/>
      <c r="K289" s="128"/>
      <c r="L289" s="128"/>
      <c r="M289" s="95"/>
      <c r="O289" s="86" t="str">
        <f t="shared" si="49"/>
        <v/>
      </c>
      <c r="P289" s="86" t="str">
        <f t="shared" si="50"/>
        <v/>
      </c>
      <c r="Q289" s="86" t="str">
        <f t="shared" si="51"/>
        <v/>
      </c>
      <c r="R289" s="86" t="str">
        <f t="shared" si="52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5"/>
        <v/>
      </c>
      <c r="E290" s="96"/>
      <c r="F290" s="91" t="str">
        <f t="shared" si="46"/>
        <v/>
      </c>
      <c r="G290" s="129"/>
      <c r="H290" s="91" t="str">
        <f t="shared" si="47"/>
        <v/>
      </c>
      <c r="I290" s="91" t="str">
        <f t="shared" si="48"/>
        <v/>
      </c>
      <c r="J290" s="128"/>
      <c r="K290" s="128"/>
      <c r="L290" s="128"/>
      <c r="M290" s="95"/>
      <c r="O290" s="86" t="str">
        <f t="shared" si="49"/>
        <v/>
      </c>
      <c r="P290" s="86" t="str">
        <f t="shared" si="50"/>
        <v/>
      </c>
      <c r="Q290" s="86" t="str">
        <f t="shared" si="51"/>
        <v/>
      </c>
      <c r="R290" s="86" t="str">
        <f t="shared" si="52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5"/>
        <v/>
      </c>
      <c r="E291" s="96"/>
      <c r="F291" s="91" t="str">
        <f t="shared" si="46"/>
        <v/>
      </c>
      <c r="G291" s="129"/>
      <c r="H291" s="91" t="str">
        <f t="shared" si="47"/>
        <v/>
      </c>
      <c r="I291" s="91" t="str">
        <f t="shared" si="48"/>
        <v/>
      </c>
      <c r="J291" s="128"/>
      <c r="K291" s="128"/>
      <c r="L291" s="128"/>
      <c r="M291" s="95"/>
      <c r="O291" s="86" t="str">
        <f t="shared" si="49"/>
        <v/>
      </c>
      <c r="P291" s="86" t="str">
        <f t="shared" si="50"/>
        <v/>
      </c>
      <c r="Q291" s="86" t="str">
        <f t="shared" si="51"/>
        <v/>
      </c>
      <c r="R291" s="86" t="str">
        <f t="shared" si="52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5"/>
        <v/>
      </c>
      <c r="E292" s="96"/>
      <c r="F292" s="91" t="str">
        <f t="shared" si="46"/>
        <v/>
      </c>
      <c r="G292" s="129"/>
      <c r="H292" s="91" t="str">
        <f t="shared" si="47"/>
        <v/>
      </c>
      <c r="I292" s="91" t="str">
        <f t="shared" si="48"/>
        <v/>
      </c>
      <c r="J292" s="128"/>
      <c r="K292" s="128"/>
      <c r="L292" s="128"/>
      <c r="M292" s="95"/>
      <c r="O292" s="86" t="str">
        <f t="shared" si="49"/>
        <v/>
      </c>
      <c r="P292" s="86" t="str">
        <f t="shared" si="50"/>
        <v/>
      </c>
      <c r="Q292" s="86" t="str">
        <f t="shared" si="51"/>
        <v/>
      </c>
      <c r="R292" s="86" t="str">
        <f t="shared" si="52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5"/>
        <v/>
      </c>
      <c r="E293" s="96"/>
      <c r="F293" s="91" t="str">
        <f t="shared" si="46"/>
        <v/>
      </c>
      <c r="G293" s="129"/>
      <c r="H293" s="91" t="str">
        <f t="shared" si="47"/>
        <v/>
      </c>
      <c r="I293" s="91" t="str">
        <f t="shared" si="48"/>
        <v/>
      </c>
      <c r="J293" s="128"/>
      <c r="K293" s="128"/>
      <c r="L293" s="128"/>
      <c r="M293" s="95"/>
      <c r="O293" s="86" t="str">
        <f t="shared" si="49"/>
        <v/>
      </c>
      <c r="P293" s="86" t="str">
        <f t="shared" si="50"/>
        <v/>
      </c>
      <c r="Q293" s="86" t="str">
        <f t="shared" si="51"/>
        <v/>
      </c>
      <c r="R293" s="86" t="str">
        <f t="shared" si="52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5"/>
        <v/>
      </c>
      <c r="E294" s="96"/>
      <c r="F294" s="91" t="str">
        <f t="shared" si="46"/>
        <v/>
      </c>
      <c r="G294" s="129"/>
      <c r="H294" s="91" t="str">
        <f t="shared" si="47"/>
        <v/>
      </c>
      <c r="I294" s="91" t="str">
        <f t="shared" si="48"/>
        <v/>
      </c>
      <c r="J294" s="128"/>
      <c r="K294" s="128"/>
      <c r="L294" s="128"/>
      <c r="M294" s="95"/>
      <c r="O294" s="86" t="str">
        <f t="shared" si="49"/>
        <v/>
      </c>
      <c r="P294" s="86" t="str">
        <f t="shared" si="50"/>
        <v/>
      </c>
      <c r="Q294" s="86" t="str">
        <f t="shared" si="51"/>
        <v/>
      </c>
      <c r="R294" s="86" t="str">
        <f t="shared" si="52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5"/>
        <v/>
      </c>
      <c r="E295" s="96"/>
      <c r="F295" s="91" t="str">
        <f t="shared" si="46"/>
        <v/>
      </c>
      <c r="G295" s="129"/>
      <c r="H295" s="91" t="str">
        <f t="shared" si="47"/>
        <v/>
      </c>
      <c r="I295" s="91" t="str">
        <f t="shared" si="48"/>
        <v/>
      </c>
      <c r="J295" s="128"/>
      <c r="K295" s="128"/>
      <c r="L295" s="128"/>
      <c r="M295" s="95"/>
      <c r="O295" s="86" t="str">
        <f t="shared" si="49"/>
        <v/>
      </c>
      <c r="P295" s="86" t="str">
        <f t="shared" si="50"/>
        <v/>
      </c>
      <c r="Q295" s="86" t="str">
        <f t="shared" si="51"/>
        <v/>
      </c>
      <c r="R295" s="86" t="str">
        <f t="shared" si="52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5"/>
        <v/>
      </c>
      <c r="E296" s="96"/>
      <c r="F296" s="91" t="str">
        <f t="shared" si="46"/>
        <v/>
      </c>
      <c r="G296" s="129"/>
      <c r="H296" s="91" t="str">
        <f t="shared" si="47"/>
        <v/>
      </c>
      <c r="I296" s="91" t="str">
        <f t="shared" si="48"/>
        <v/>
      </c>
      <c r="J296" s="128"/>
      <c r="K296" s="128"/>
      <c r="L296" s="128"/>
      <c r="M296" s="95"/>
      <c r="O296" s="86" t="str">
        <f t="shared" si="49"/>
        <v/>
      </c>
      <c r="P296" s="86" t="str">
        <f t="shared" si="50"/>
        <v/>
      </c>
      <c r="Q296" s="86" t="str">
        <f t="shared" si="51"/>
        <v/>
      </c>
      <c r="R296" s="86" t="str">
        <f t="shared" si="52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5"/>
        <v/>
      </c>
      <c r="E297" s="96"/>
      <c r="F297" s="91" t="str">
        <f t="shared" si="46"/>
        <v/>
      </c>
      <c r="G297" s="129"/>
      <c r="H297" s="91" t="str">
        <f t="shared" si="47"/>
        <v/>
      </c>
      <c r="I297" s="91" t="str">
        <f t="shared" si="48"/>
        <v/>
      </c>
      <c r="J297" s="128"/>
      <c r="K297" s="128"/>
      <c r="L297" s="128"/>
      <c r="M297" s="95"/>
      <c r="O297" s="86" t="str">
        <f t="shared" si="49"/>
        <v/>
      </c>
      <c r="P297" s="86" t="str">
        <f t="shared" si="50"/>
        <v/>
      </c>
      <c r="Q297" s="86" t="str">
        <f t="shared" si="51"/>
        <v/>
      </c>
      <c r="R297" s="86" t="str">
        <f t="shared" si="52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5"/>
        <v/>
      </c>
      <c r="E298" s="96"/>
      <c r="F298" s="91" t="str">
        <f t="shared" si="46"/>
        <v/>
      </c>
      <c r="G298" s="129"/>
      <c r="H298" s="91" t="str">
        <f t="shared" si="47"/>
        <v/>
      </c>
      <c r="I298" s="91" t="str">
        <f t="shared" si="48"/>
        <v/>
      </c>
      <c r="J298" s="128"/>
      <c r="K298" s="128"/>
      <c r="L298" s="128"/>
      <c r="M298" s="95"/>
      <c r="O298" s="86" t="str">
        <f t="shared" si="49"/>
        <v/>
      </c>
      <c r="P298" s="86" t="str">
        <f t="shared" si="50"/>
        <v/>
      </c>
      <c r="Q298" s="86" t="str">
        <f t="shared" si="51"/>
        <v/>
      </c>
      <c r="R298" s="86" t="str">
        <f t="shared" si="52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5"/>
        <v/>
      </c>
      <c r="E299" s="96"/>
      <c r="F299" s="91" t="str">
        <f t="shared" si="46"/>
        <v/>
      </c>
      <c r="G299" s="129"/>
      <c r="H299" s="91" t="str">
        <f t="shared" si="47"/>
        <v/>
      </c>
      <c r="I299" s="91" t="str">
        <f t="shared" si="48"/>
        <v/>
      </c>
      <c r="J299" s="128"/>
      <c r="K299" s="128"/>
      <c r="L299" s="128"/>
      <c r="M299" s="95"/>
      <c r="O299" s="86" t="str">
        <f t="shared" si="49"/>
        <v/>
      </c>
      <c r="P299" s="86" t="str">
        <f t="shared" si="50"/>
        <v/>
      </c>
      <c r="Q299" s="86" t="str">
        <f t="shared" si="51"/>
        <v/>
      </c>
      <c r="R299" s="86" t="str">
        <f t="shared" si="52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5"/>
        <v/>
      </c>
      <c r="E300" s="96"/>
      <c r="F300" s="91" t="str">
        <f t="shared" si="46"/>
        <v/>
      </c>
      <c r="G300" s="129"/>
      <c r="H300" s="91" t="str">
        <f t="shared" si="47"/>
        <v/>
      </c>
      <c r="I300" s="91" t="str">
        <f t="shared" si="48"/>
        <v/>
      </c>
      <c r="J300" s="128"/>
      <c r="K300" s="128"/>
      <c r="L300" s="128"/>
      <c r="M300" s="95"/>
      <c r="O300" s="86" t="str">
        <f t="shared" si="49"/>
        <v/>
      </c>
      <c r="P300" s="86" t="str">
        <f t="shared" si="50"/>
        <v/>
      </c>
      <c r="Q300" s="86" t="str">
        <f t="shared" si="51"/>
        <v/>
      </c>
      <c r="R300" s="86" t="str">
        <f t="shared" si="52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5"/>
        <v/>
      </c>
      <c r="E301" s="96"/>
      <c r="F301" s="91" t="str">
        <f t="shared" si="46"/>
        <v/>
      </c>
      <c r="G301" s="129"/>
      <c r="H301" s="91" t="str">
        <f t="shared" si="47"/>
        <v/>
      </c>
      <c r="I301" s="91" t="str">
        <f t="shared" si="48"/>
        <v/>
      </c>
      <c r="J301" s="128"/>
      <c r="K301" s="128"/>
      <c r="L301" s="128"/>
      <c r="M301" s="95"/>
      <c r="O301" s="86" t="str">
        <f t="shared" si="49"/>
        <v/>
      </c>
      <c r="P301" s="86" t="str">
        <f t="shared" si="50"/>
        <v/>
      </c>
      <c r="Q301" s="86" t="str">
        <f t="shared" si="51"/>
        <v/>
      </c>
      <c r="R301" s="86" t="str">
        <f t="shared" si="52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5"/>
        <v/>
      </c>
      <c r="E302" s="96"/>
      <c r="F302" s="91" t="str">
        <f t="shared" si="46"/>
        <v/>
      </c>
      <c r="G302" s="129"/>
      <c r="H302" s="91" t="str">
        <f t="shared" si="47"/>
        <v/>
      </c>
      <c r="I302" s="91" t="str">
        <f t="shared" si="48"/>
        <v/>
      </c>
      <c r="J302" s="128"/>
      <c r="K302" s="128"/>
      <c r="L302" s="128"/>
      <c r="M302" s="95"/>
      <c r="O302" s="86" t="str">
        <f t="shared" si="49"/>
        <v/>
      </c>
      <c r="P302" s="86" t="str">
        <f t="shared" si="50"/>
        <v/>
      </c>
      <c r="Q302" s="86" t="str">
        <f t="shared" si="51"/>
        <v/>
      </c>
      <c r="R302" s="86" t="str">
        <f t="shared" si="52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5"/>
        <v/>
      </c>
      <c r="E303" s="96"/>
      <c r="F303" s="91" t="str">
        <f t="shared" si="46"/>
        <v/>
      </c>
      <c r="G303" s="129"/>
      <c r="H303" s="91" t="str">
        <f t="shared" si="47"/>
        <v/>
      </c>
      <c r="I303" s="91" t="str">
        <f t="shared" si="48"/>
        <v/>
      </c>
      <c r="J303" s="128"/>
      <c r="K303" s="128"/>
      <c r="L303" s="128"/>
      <c r="M303" s="95"/>
      <c r="O303" s="86" t="str">
        <f t="shared" si="49"/>
        <v/>
      </c>
      <c r="P303" s="86" t="str">
        <f t="shared" si="50"/>
        <v/>
      </c>
      <c r="Q303" s="86" t="str">
        <f t="shared" si="51"/>
        <v/>
      </c>
      <c r="R303" s="86" t="str">
        <f t="shared" si="52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5"/>
        <v/>
      </c>
      <c r="E304" s="96"/>
      <c r="F304" s="91" t="str">
        <f t="shared" si="46"/>
        <v/>
      </c>
      <c r="G304" s="129"/>
      <c r="H304" s="91" t="str">
        <f t="shared" si="47"/>
        <v/>
      </c>
      <c r="I304" s="91" t="str">
        <f t="shared" si="48"/>
        <v/>
      </c>
      <c r="J304" s="128"/>
      <c r="K304" s="128"/>
      <c r="L304" s="128"/>
      <c r="M304" s="95"/>
      <c r="O304" s="86" t="str">
        <f t="shared" si="49"/>
        <v/>
      </c>
      <c r="P304" s="86" t="str">
        <f t="shared" si="50"/>
        <v/>
      </c>
      <c r="Q304" s="86" t="str">
        <f t="shared" si="51"/>
        <v/>
      </c>
      <c r="R304" s="86" t="str">
        <f t="shared" si="52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5"/>
        <v/>
      </c>
      <c r="E305" s="96"/>
      <c r="F305" s="91" t="str">
        <f t="shared" si="46"/>
        <v/>
      </c>
      <c r="G305" s="129"/>
      <c r="H305" s="91" t="str">
        <f t="shared" si="47"/>
        <v/>
      </c>
      <c r="I305" s="91" t="str">
        <f t="shared" si="48"/>
        <v/>
      </c>
      <c r="J305" s="128"/>
      <c r="K305" s="128"/>
      <c r="L305" s="128"/>
      <c r="M305" s="95"/>
      <c r="O305" s="86" t="str">
        <f t="shared" si="49"/>
        <v/>
      </c>
      <c r="P305" s="86" t="str">
        <f t="shared" si="50"/>
        <v/>
      </c>
      <c r="Q305" s="86" t="str">
        <f t="shared" si="51"/>
        <v/>
      </c>
      <c r="R305" s="86" t="str">
        <f t="shared" si="52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5"/>
        <v/>
      </c>
      <c r="E306" s="96"/>
      <c r="F306" s="91" t="str">
        <f t="shared" si="46"/>
        <v/>
      </c>
      <c r="G306" s="129"/>
      <c r="H306" s="91" t="str">
        <f t="shared" si="47"/>
        <v/>
      </c>
      <c r="I306" s="91" t="str">
        <f t="shared" si="48"/>
        <v/>
      </c>
      <c r="J306" s="128"/>
      <c r="K306" s="128"/>
      <c r="L306" s="128"/>
      <c r="M306" s="95"/>
      <c r="O306" s="86" t="str">
        <f t="shared" si="49"/>
        <v/>
      </c>
      <c r="P306" s="86" t="str">
        <f t="shared" si="50"/>
        <v/>
      </c>
      <c r="Q306" s="86" t="str">
        <f t="shared" si="51"/>
        <v/>
      </c>
      <c r="R306" s="86" t="str">
        <f t="shared" si="52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5"/>
        <v/>
      </c>
      <c r="E307" s="96"/>
      <c r="F307" s="91" t="str">
        <f t="shared" si="46"/>
        <v/>
      </c>
      <c r="G307" s="129"/>
      <c r="H307" s="91" t="str">
        <f t="shared" si="47"/>
        <v/>
      </c>
      <c r="I307" s="91" t="str">
        <f t="shared" si="48"/>
        <v/>
      </c>
      <c r="J307" s="128"/>
      <c r="K307" s="128"/>
      <c r="L307" s="128"/>
      <c r="M307" s="95"/>
      <c r="O307" s="86" t="str">
        <f t="shared" si="49"/>
        <v/>
      </c>
      <c r="P307" s="86" t="str">
        <f t="shared" si="50"/>
        <v/>
      </c>
      <c r="Q307" s="86" t="str">
        <f t="shared" si="51"/>
        <v/>
      </c>
      <c r="R307" s="86" t="str">
        <f t="shared" si="52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5"/>
        <v/>
      </c>
      <c r="E308" s="96"/>
      <c r="F308" s="91" t="str">
        <f t="shared" si="46"/>
        <v/>
      </c>
      <c r="G308" s="129"/>
      <c r="H308" s="91" t="str">
        <f t="shared" si="47"/>
        <v/>
      </c>
      <c r="I308" s="91" t="str">
        <f t="shared" si="48"/>
        <v/>
      </c>
      <c r="J308" s="128"/>
      <c r="K308" s="128"/>
      <c r="L308" s="128"/>
      <c r="M308" s="95"/>
      <c r="O308" s="86" t="str">
        <f t="shared" si="49"/>
        <v/>
      </c>
      <c r="P308" s="86" t="str">
        <f t="shared" si="50"/>
        <v/>
      </c>
      <c r="Q308" s="86" t="str">
        <f t="shared" si="51"/>
        <v/>
      </c>
      <c r="R308" s="86" t="str">
        <f t="shared" si="52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5"/>
        <v/>
      </c>
      <c r="E309" s="96"/>
      <c r="F309" s="91" t="str">
        <f t="shared" si="46"/>
        <v/>
      </c>
      <c r="G309" s="129"/>
      <c r="H309" s="91" t="str">
        <f t="shared" si="47"/>
        <v/>
      </c>
      <c r="I309" s="91" t="str">
        <f t="shared" si="48"/>
        <v/>
      </c>
      <c r="J309" s="128"/>
      <c r="K309" s="128"/>
      <c r="L309" s="128"/>
      <c r="M309" s="95"/>
      <c r="O309" s="86" t="str">
        <f t="shared" si="49"/>
        <v/>
      </c>
      <c r="P309" s="86" t="str">
        <f t="shared" si="50"/>
        <v/>
      </c>
      <c r="Q309" s="86" t="str">
        <f t="shared" si="51"/>
        <v/>
      </c>
      <c r="R309" s="86" t="str">
        <f t="shared" si="52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5"/>
        <v/>
      </c>
      <c r="E310" s="96"/>
      <c r="F310" s="91" t="str">
        <f t="shared" si="46"/>
        <v/>
      </c>
      <c r="G310" s="129"/>
      <c r="H310" s="91" t="str">
        <f t="shared" si="47"/>
        <v/>
      </c>
      <c r="I310" s="91" t="str">
        <f t="shared" si="48"/>
        <v/>
      </c>
      <c r="J310" s="128"/>
      <c r="K310" s="128"/>
      <c r="L310" s="128"/>
      <c r="M310" s="95"/>
      <c r="O310" s="86" t="str">
        <f t="shared" si="49"/>
        <v/>
      </c>
      <c r="P310" s="86" t="str">
        <f t="shared" si="50"/>
        <v/>
      </c>
      <c r="Q310" s="86" t="str">
        <f t="shared" si="51"/>
        <v/>
      </c>
      <c r="R310" s="86" t="str">
        <f t="shared" si="52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5"/>
        <v/>
      </c>
      <c r="E311" s="96"/>
      <c r="F311" s="91" t="str">
        <f t="shared" si="46"/>
        <v/>
      </c>
      <c r="G311" s="129"/>
      <c r="H311" s="91" t="str">
        <f t="shared" si="47"/>
        <v/>
      </c>
      <c r="I311" s="91" t="str">
        <f t="shared" si="48"/>
        <v/>
      </c>
      <c r="J311" s="128"/>
      <c r="K311" s="128"/>
      <c r="L311" s="128"/>
      <c r="M311" s="95"/>
      <c r="O311" s="86" t="str">
        <f t="shared" si="49"/>
        <v/>
      </c>
      <c r="P311" s="86" t="str">
        <f t="shared" si="50"/>
        <v/>
      </c>
      <c r="Q311" s="86" t="str">
        <f t="shared" si="51"/>
        <v/>
      </c>
      <c r="R311" s="86" t="str">
        <f t="shared" si="52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5"/>
        <v/>
      </c>
      <c r="E312" s="96"/>
      <c r="F312" s="91" t="str">
        <f t="shared" si="46"/>
        <v/>
      </c>
      <c r="G312" s="129"/>
      <c r="H312" s="91" t="str">
        <f t="shared" si="47"/>
        <v/>
      </c>
      <c r="I312" s="91" t="str">
        <f t="shared" si="48"/>
        <v/>
      </c>
      <c r="J312" s="128"/>
      <c r="K312" s="128"/>
      <c r="L312" s="128"/>
      <c r="M312" s="95"/>
      <c r="O312" s="86" t="str">
        <f t="shared" si="49"/>
        <v/>
      </c>
      <c r="P312" s="86" t="str">
        <f t="shared" si="50"/>
        <v/>
      </c>
      <c r="Q312" s="86" t="str">
        <f t="shared" si="51"/>
        <v/>
      </c>
      <c r="R312" s="86" t="str">
        <f t="shared" si="52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5"/>
        <v/>
      </c>
      <c r="E313" s="96"/>
      <c r="F313" s="91" t="str">
        <f t="shared" si="46"/>
        <v/>
      </c>
      <c r="G313" s="129"/>
      <c r="H313" s="91" t="str">
        <f t="shared" si="47"/>
        <v/>
      </c>
      <c r="I313" s="91" t="str">
        <f t="shared" si="48"/>
        <v/>
      </c>
      <c r="J313" s="128"/>
      <c r="K313" s="128"/>
      <c r="L313" s="128"/>
      <c r="M313" s="95"/>
      <c r="O313" s="86" t="str">
        <f t="shared" si="49"/>
        <v/>
      </c>
      <c r="P313" s="86" t="str">
        <f t="shared" si="50"/>
        <v/>
      </c>
      <c r="Q313" s="86" t="str">
        <f t="shared" si="51"/>
        <v/>
      </c>
      <c r="R313" s="86" t="str">
        <f t="shared" si="52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5"/>
        <v/>
      </c>
      <c r="E314" s="96"/>
      <c r="F314" s="91" t="str">
        <f t="shared" si="46"/>
        <v/>
      </c>
      <c r="G314" s="129"/>
      <c r="H314" s="91" t="str">
        <f t="shared" si="47"/>
        <v/>
      </c>
      <c r="I314" s="91" t="str">
        <f t="shared" si="48"/>
        <v/>
      </c>
      <c r="J314" s="128"/>
      <c r="K314" s="128"/>
      <c r="L314" s="128"/>
      <c r="M314" s="95"/>
      <c r="O314" s="86" t="str">
        <f t="shared" si="49"/>
        <v/>
      </c>
      <c r="P314" s="86" t="str">
        <f t="shared" si="50"/>
        <v/>
      </c>
      <c r="Q314" s="86" t="str">
        <f t="shared" si="51"/>
        <v/>
      </c>
      <c r="R314" s="86" t="str">
        <f t="shared" si="52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5"/>
        <v/>
      </c>
      <c r="E315" s="96"/>
      <c r="F315" s="91" t="str">
        <f t="shared" si="46"/>
        <v/>
      </c>
      <c r="G315" s="129"/>
      <c r="H315" s="91" t="str">
        <f t="shared" si="47"/>
        <v/>
      </c>
      <c r="I315" s="91" t="str">
        <f t="shared" si="48"/>
        <v/>
      </c>
      <c r="J315" s="128"/>
      <c r="K315" s="128"/>
      <c r="L315" s="128"/>
      <c r="M315" s="95"/>
      <c r="O315" s="86" t="str">
        <f t="shared" si="49"/>
        <v/>
      </c>
      <c r="P315" s="86" t="str">
        <f t="shared" si="50"/>
        <v/>
      </c>
      <c r="Q315" s="86" t="str">
        <f t="shared" si="51"/>
        <v/>
      </c>
      <c r="R315" s="86" t="str">
        <f t="shared" si="52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5"/>
        <v/>
      </c>
      <c r="E316" s="96"/>
      <c r="F316" s="91" t="str">
        <f t="shared" si="46"/>
        <v/>
      </c>
      <c r="G316" s="129"/>
      <c r="H316" s="91" t="str">
        <f t="shared" si="47"/>
        <v/>
      </c>
      <c r="I316" s="91" t="str">
        <f t="shared" si="48"/>
        <v/>
      </c>
      <c r="J316" s="128"/>
      <c r="K316" s="128"/>
      <c r="L316" s="128"/>
      <c r="M316" s="95"/>
      <c r="O316" s="86" t="str">
        <f t="shared" si="49"/>
        <v/>
      </c>
      <c r="P316" s="86" t="str">
        <f t="shared" si="50"/>
        <v/>
      </c>
      <c r="Q316" s="86" t="str">
        <f t="shared" si="51"/>
        <v/>
      </c>
      <c r="R316" s="86" t="str">
        <f t="shared" si="52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5"/>
        <v/>
      </c>
      <c r="E317" s="96"/>
      <c r="F317" s="91" t="str">
        <f t="shared" si="46"/>
        <v/>
      </c>
      <c r="G317" s="129"/>
      <c r="H317" s="91" t="str">
        <f t="shared" si="47"/>
        <v/>
      </c>
      <c r="I317" s="91" t="str">
        <f t="shared" si="48"/>
        <v/>
      </c>
      <c r="J317" s="128"/>
      <c r="K317" s="128"/>
      <c r="L317" s="128"/>
      <c r="M317" s="95"/>
      <c r="O317" s="86" t="str">
        <f t="shared" si="49"/>
        <v/>
      </c>
      <c r="P317" s="86" t="str">
        <f t="shared" si="50"/>
        <v/>
      </c>
      <c r="Q317" s="86" t="str">
        <f t="shared" si="51"/>
        <v/>
      </c>
      <c r="R317" s="86" t="str">
        <f t="shared" si="52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5"/>
        <v/>
      </c>
      <c r="E318" s="96"/>
      <c r="F318" s="91" t="str">
        <f t="shared" si="46"/>
        <v/>
      </c>
      <c r="G318" s="129"/>
      <c r="H318" s="91" t="str">
        <f t="shared" si="47"/>
        <v/>
      </c>
      <c r="I318" s="91" t="str">
        <f t="shared" si="48"/>
        <v/>
      </c>
      <c r="J318" s="128"/>
      <c r="K318" s="128"/>
      <c r="L318" s="128"/>
      <c r="M318" s="95"/>
      <c r="O318" s="86" t="str">
        <f t="shared" si="49"/>
        <v/>
      </c>
      <c r="P318" s="86" t="str">
        <f t="shared" si="50"/>
        <v/>
      </c>
      <c r="Q318" s="86" t="str">
        <f t="shared" si="51"/>
        <v/>
      </c>
      <c r="R318" s="86" t="str">
        <f t="shared" si="52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5"/>
        <v/>
      </c>
      <c r="E319" s="96"/>
      <c r="F319" s="91" t="str">
        <f t="shared" si="46"/>
        <v/>
      </c>
      <c r="G319" s="129"/>
      <c r="H319" s="91" t="str">
        <f t="shared" si="47"/>
        <v/>
      </c>
      <c r="I319" s="91" t="str">
        <f t="shared" si="48"/>
        <v/>
      </c>
      <c r="J319" s="128"/>
      <c r="K319" s="128"/>
      <c r="L319" s="128"/>
      <c r="M319" s="95"/>
      <c r="O319" s="86" t="str">
        <f t="shared" si="49"/>
        <v/>
      </c>
      <c r="P319" s="86" t="str">
        <f t="shared" si="50"/>
        <v/>
      </c>
      <c r="Q319" s="86" t="str">
        <f t="shared" si="51"/>
        <v/>
      </c>
      <c r="R319" s="86" t="str">
        <f t="shared" si="52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5"/>
        <v/>
      </c>
      <c r="E320" s="96"/>
      <c r="F320" s="91" t="str">
        <f t="shared" si="46"/>
        <v/>
      </c>
      <c r="G320" s="129"/>
      <c r="H320" s="91" t="str">
        <f t="shared" si="47"/>
        <v/>
      </c>
      <c r="I320" s="91" t="str">
        <f t="shared" si="48"/>
        <v/>
      </c>
      <c r="J320" s="128"/>
      <c r="K320" s="128"/>
      <c r="L320" s="128"/>
      <c r="M320" s="95"/>
      <c r="O320" s="86" t="str">
        <f t="shared" si="49"/>
        <v/>
      </c>
      <c r="P320" s="86" t="str">
        <f t="shared" si="50"/>
        <v/>
      </c>
      <c r="Q320" s="86" t="str">
        <f t="shared" si="51"/>
        <v/>
      </c>
      <c r="R320" s="86" t="str">
        <f t="shared" si="52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5"/>
        <v/>
      </c>
      <c r="E321" s="96"/>
      <c r="F321" s="91" t="str">
        <f t="shared" si="46"/>
        <v/>
      </c>
      <c r="G321" s="129"/>
      <c r="H321" s="91" t="str">
        <f t="shared" si="47"/>
        <v/>
      </c>
      <c r="I321" s="91" t="str">
        <f t="shared" si="48"/>
        <v/>
      </c>
      <c r="J321" s="128"/>
      <c r="K321" s="128"/>
      <c r="L321" s="128"/>
      <c r="M321" s="95"/>
      <c r="O321" s="86" t="str">
        <f t="shared" si="49"/>
        <v/>
      </c>
      <c r="P321" s="86" t="str">
        <f t="shared" si="50"/>
        <v/>
      </c>
      <c r="Q321" s="86" t="str">
        <f t="shared" si="51"/>
        <v/>
      </c>
      <c r="R321" s="86" t="str">
        <f t="shared" si="52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5"/>
        <v/>
      </c>
      <c r="E322" s="96"/>
      <c r="F322" s="91" t="str">
        <f t="shared" si="46"/>
        <v/>
      </c>
      <c r="G322" s="129"/>
      <c r="H322" s="91" t="str">
        <f t="shared" si="47"/>
        <v/>
      </c>
      <c r="I322" s="91" t="str">
        <f t="shared" si="48"/>
        <v/>
      </c>
      <c r="J322" s="128"/>
      <c r="K322" s="128"/>
      <c r="L322" s="128"/>
      <c r="M322" s="95"/>
      <c r="O322" s="86" t="str">
        <f t="shared" si="49"/>
        <v/>
      </c>
      <c r="P322" s="86" t="str">
        <f t="shared" si="50"/>
        <v/>
      </c>
      <c r="Q322" s="86" t="str">
        <f t="shared" si="51"/>
        <v/>
      </c>
      <c r="R322" s="86" t="str">
        <f t="shared" si="52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3">IFERROR(VLOOKUP(C323,$S$6:$T$24,2,FALSE),"")</f>
        <v/>
      </c>
      <c r="E323" s="96"/>
      <c r="F323" s="91" t="str">
        <f t="shared" si="46"/>
        <v/>
      </c>
      <c r="G323" s="129"/>
      <c r="H323" s="91" t="str">
        <f t="shared" si="47"/>
        <v/>
      </c>
      <c r="I323" s="91" t="str">
        <f t="shared" si="48"/>
        <v/>
      </c>
      <c r="J323" s="128"/>
      <c r="K323" s="128"/>
      <c r="L323" s="128"/>
      <c r="M323" s="95"/>
      <c r="O323" s="86" t="str">
        <f t="shared" si="49"/>
        <v/>
      </c>
      <c r="P323" s="86" t="str">
        <f t="shared" si="50"/>
        <v/>
      </c>
      <c r="Q323" s="86" t="str">
        <f t="shared" si="51"/>
        <v/>
      </c>
      <c r="R323" s="86" t="str">
        <f t="shared" si="52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3"/>
        <v/>
      </c>
      <c r="E324" s="96"/>
      <c r="F324" s="91" t="str">
        <f t="shared" ref="F324:F387" si="54">IFERROR(VLOOKUP(E324,$V$5:$X$129,2,FALSE),"")</f>
        <v/>
      </c>
      <c r="G324" s="129"/>
      <c r="H324" s="91" t="str">
        <f t="shared" ref="H324:H387" si="55">IFERROR(VLOOKUP(G324,$AB$6:$AC$327,2,FALSE),"")</f>
        <v/>
      </c>
      <c r="I324" s="91" t="str">
        <f t="shared" ref="I324:I387" si="56">IFERROR(VLOOKUP(G324,$AB$6:$AF$327,3,FALSE),"")</f>
        <v/>
      </c>
      <c r="J324" s="128"/>
      <c r="K324" s="128"/>
      <c r="L324" s="128"/>
      <c r="M324" s="95"/>
      <c r="O324" s="86" t="str">
        <f t="shared" ref="O324:O387" si="57">LEFT(E324,3)</f>
        <v/>
      </c>
      <c r="P324" s="86" t="str">
        <f t="shared" ref="P324:P387" si="58">LEFT(E324,2)</f>
        <v/>
      </c>
      <c r="Q324" s="86" t="str">
        <f t="shared" ref="Q324:Q387" si="59">LEFT(C324,3)</f>
        <v/>
      </c>
      <c r="R324" s="86" t="str">
        <f t="shared" ref="R324:R387" si="60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3"/>
        <v/>
      </c>
      <c r="E325" s="96"/>
      <c r="F325" s="91" t="str">
        <f t="shared" si="54"/>
        <v/>
      </c>
      <c r="G325" s="129"/>
      <c r="H325" s="91" t="str">
        <f t="shared" si="55"/>
        <v/>
      </c>
      <c r="I325" s="91" t="str">
        <f t="shared" si="56"/>
        <v/>
      </c>
      <c r="J325" s="128"/>
      <c r="K325" s="128"/>
      <c r="L325" s="128"/>
      <c r="M325" s="95"/>
      <c r="O325" s="86" t="str">
        <f t="shared" si="57"/>
        <v/>
      </c>
      <c r="P325" s="86" t="str">
        <f t="shared" si="58"/>
        <v/>
      </c>
      <c r="Q325" s="86" t="str">
        <f t="shared" si="59"/>
        <v/>
      </c>
      <c r="R325" s="86" t="str">
        <f t="shared" si="60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3"/>
        <v/>
      </c>
      <c r="E326" s="96"/>
      <c r="F326" s="91" t="str">
        <f t="shared" si="54"/>
        <v/>
      </c>
      <c r="G326" s="129"/>
      <c r="H326" s="91" t="str">
        <f t="shared" si="55"/>
        <v/>
      </c>
      <c r="I326" s="91" t="str">
        <f t="shared" si="56"/>
        <v/>
      </c>
      <c r="J326" s="128"/>
      <c r="K326" s="128"/>
      <c r="L326" s="128"/>
      <c r="M326" s="95"/>
      <c r="O326" s="86" t="str">
        <f t="shared" si="57"/>
        <v/>
      </c>
      <c r="P326" s="86" t="str">
        <f t="shared" si="58"/>
        <v/>
      </c>
      <c r="Q326" s="86" t="str">
        <f t="shared" si="59"/>
        <v/>
      </c>
      <c r="R326" s="86" t="str">
        <f t="shared" si="60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3"/>
        <v/>
      </c>
      <c r="E327" s="96"/>
      <c r="F327" s="91" t="str">
        <f t="shared" si="54"/>
        <v/>
      </c>
      <c r="G327" s="129"/>
      <c r="H327" s="91" t="str">
        <f t="shared" si="55"/>
        <v/>
      </c>
      <c r="I327" s="91" t="str">
        <f t="shared" si="56"/>
        <v/>
      </c>
      <c r="J327" s="128"/>
      <c r="K327" s="128"/>
      <c r="L327" s="128"/>
      <c r="M327" s="95"/>
      <c r="O327" s="86" t="str">
        <f t="shared" si="57"/>
        <v/>
      </c>
      <c r="P327" s="86" t="str">
        <f t="shared" si="58"/>
        <v/>
      </c>
      <c r="Q327" s="86" t="str">
        <f t="shared" si="59"/>
        <v/>
      </c>
      <c r="R327" s="86" t="str">
        <f t="shared" si="60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3"/>
        <v/>
      </c>
      <c r="E328" s="96"/>
      <c r="F328" s="91" t="str">
        <f t="shared" si="54"/>
        <v/>
      </c>
      <c r="G328" s="129"/>
      <c r="H328" s="91" t="str">
        <f t="shared" si="55"/>
        <v/>
      </c>
      <c r="I328" s="91" t="str">
        <f t="shared" si="56"/>
        <v/>
      </c>
      <c r="J328" s="128"/>
      <c r="K328" s="128"/>
      <c r="L328" s="128"/>
      <c r="M328" s="95"/>
      <c r="O328" s="86" t="str">
        <f t="shared" si="57"/>
        <v/>
      </c>
      <c r="P328" s="86" t="str">
        <f t="shared" si="58"/>
        <v/>
      </c>
      <c r="Q328" s="86" t="str">
        <f t="shared" si="59"/>
        <v/>
      </c>
      <c r="R328" s="86" t="str">
        <f t="shared" si="60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3"/>
        <v/>
      </c>
      <c r="E329" s="96"/>
      <c r="F329" s="91" t="str">
        <f t="shared" si="54"/>
        <v/>
      </c>
      <c r="G329" s="129"/>
      <c r="H329" s="91" t="str">
        <f t="shared" si="55"/>
        <v/>
      </c>
      <c r="I329" s="91" t="str">
        <f t="shared" si="56"/>
        <v/>
      </c>
      <c r="J329" s="128"/>
      <c r="K329" s="128"/>
      <c r="L329" s="128"/>
      <c r="M329" s="95"/>
      <c r="O329" s="86" t="str">
        <f t="shared" si="57"/>
        <v/>
      </c>
      <c r="P329" s="86" t="str">
        <f t="shared" si="58"/>
        <v/>
      </c>
      <c r="Q329" s="86" t="str">
        <f t="shared" si="59"/>
        <v/>
      </c>
      <c r="R329" s="86" t="str">
        <f t="shared" si="60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3"/>
        <v/>
      </c>
      <c r="E330" s="96"/>
      <c r="F330" s="91" t="str">
        <f t="shared" si="54"/>
        <v/>
      </c>
      <c r="G330" s="129"/>
      <c r="H330" s="91" t="str">
        <f t="shared" si="55"/>
        <v/>
      </c>
      <c r="I330" s="91" t="str">
        <f t="shared" si="56"/>
        <v/>
      </c>
      <c r="J330" s="128"/>
      <c r="K330" s="128"/>
      <c r="L330" s="128"/>
      <c r="M330" s="95"/>
      <c r="O330" s="86" t="str">
        <f t="shared" si="57"/>
        <v/>
      </c>
      <c r="P330" s="86" t="str">
        <f t="shared" si="58"/>
        <v/>
      </c>
      <c r="Q330" s="86" t="str">
        <f t="shared" si="59"/>
        <v/>
      </c>
      <c r="R330" s="86" t="str">
        <f t="shared" si="60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3"/>
        <v/>
      </c>
      <c r="E331" s="96"/>
      <c r="F331" s="91" t="str">
        <f t="shared" si="54"/>
        <v/>
      </c>
      <c r="G331" s="129"/>
      <c r="H331" s="91" t="str">
        <f t="shared" si="55"/>
        <v/>
      </c>
      <c r="I331" s="91" t="str">
        <f t="shared" si="56"/>
        <v/>
      </c>
      <c r="J331" s="128"/>
      <c r="K331" s="128"/>
      <c r="L331" s="128"/>
      <c r="M331" s="95"/>
      <c r="O331" s="86" t="str">
        <f t="shared" si="57"/>
        <v/>
      </c>
      <c r="P331" s="86" t="str">
        <f t="shared" si="58"/>
        <v/>
      </c>
      <c r="Q331" s="86" t="str">
        <f t="shared" si="59"/>
        <v/>
      </c>
      <c r="R331" s="86" t="str">
        <f t="shared" si="60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3"/>
        <v/>
      </c>
      <c r="E332" s="96"/>
      <c r="F332" s="91" t="str">
        <f t="shared" si="54"/>
        <v/>
      </c>
      <c r="G332" s="129"/>
      <c r="H332" s="91" t="str">
        <f t="shared" si="55"/>
        <v/>
      </c>
      <c r="I332" s="91" t="str">
        <f t="shared" si="56"/>
        <v/>
      </c>
      <c r="J332" s="128"/>
      <c r="K332" s="128"/>
      <c r="L332" s="128"/>
      <c r="M332" s="95"/>
      <c r="O332" s="86" t="str">
        <f t="shared" si="57"/>
        <v/>
      </c>
      <c r="P332" s="86" t="str">
        <f t="shared" si="58"/>
        <v/>
      </c>
      <c r="Q332" s="86" t="str">
        <f t="shared" si="59"/>
        <v/>
      </c>
      <c r="R332" s="86" t="str">
        <f t="shared" si="60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3"/>
        <v/>
      </c>
      <c r="E333" s="96"/>
      <c r="F333" s="91" t="str">
        <f t="shared" si="54"/>
        <v/>
      </c>
      <c r="G333" s="129"/>
      <c r="H333" s="91" t="str">
        <f t="shared" si="55"/>
        <v/>
      </c>
      <c r="I333" s="91" t="str">
        <f t="shared" si="56"/>
        <v/>
      </c>
      <c r="J333" s="128"/>
      <c r="K333" s="128"/>
      <c r="L333" s="128"/>
      <c r="M333" s="95"/>
      <c r="O333" s="86" t="str">
        <f t="shared" si="57"/>
        <v/>
      </c>
      <c r="P333" s="86" t="str">
        <f t="shared" si="58"/>
        <v/>
      </c>
      <c r="Q333" s="86" t="str">
        <f t="shared" si="59"/>
        <v/>
      </c>
      <c r="R333" s="86" t="str">
        <f t="shared" si="60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3"/>
        <v/>
      </c>
      <c r="E334" s="96"/>
      <c r="F334" s="91" t="str">
        <f t="shared" si="54"/>
        <v/>
      </c>
      <c r="G334" s="129"/>
      <c r="H334" s="91" t="str">
        <f t="shared" si="55"/>
        <v/>
      </c>
      <c r="I334" s="91" t="str">
        <f t="shared" si="56"/>
        <v/>
      </c>
      <c r="J334" s="128"/>
      <c r="K334" s="128"/>
      <c r="L334" s="128"/>
      <c r="M334" s="95"/>
      <c r="O334" s="86" t="str">
        <f t="shared" si="57"/>
        <v/>
      </c>
      <c r="P334" s="86" t="str">
        <f t="shared" si="58"/>
        <v/>
      </c>
      <c r="Q334" s="86" t="str">
        <f t="shared" si="59"/>
        <v/>
      </c>
      <c r="R334" s="86" t="str">
        <f t="shared" si="60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3"/>
        <v/>
      </c>
      <c r="E335" s="96"/>
      <c r="F335" s="91" t="str">
        <f t="shared" si="54"/>
        <v/>
      </c>
      <c r="G335" s="129"/>
      <c r="H335" s="91" t="str">
        <f t="shared" si="55"/>
        <v/>
      </c>
      <c r="I335" s="91" t="str">
        <f t="shared" si="56"/>
        <v/>
      </c>
      <c r="J335" s="128"/>
      <c r="K335" s="128"/>
      <c r="L335" s="128"/>
      <c r="M335" s="95"/>
      <c r="O335" s="86" t="str">
        <f t="shared" si="57"/>
        <v/>
      </c>
      <c r="P335" s="86" t="str">
        <f t="shared" si="58"/>
        <v/>
      </c>
      <c r="Q335" s="86" t="str">
        <f t="shared" si="59"/>
        <v/>
      </c>
      <c r="R335" s="86" t="str">
        <f t="shared" si="60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3"/>
        <v/>
      </c>
      <c r="E336" s="96"/>
      <c r="F336" s="91" t="str">
        <f t="shared" si="54"/>
        <v/>
      </c>
      <c r="G336" s="129"/>
      <c r="H336" s="91" t="str">
        <f t="shared" si="55"/>
        <v/>
      </c>
      <c r="I336" s="91" t="str">
        <f t="shared" si="56"/>
        <v/>
      </c>
      <c r="J336" s="128"/>
      <c r="K336" s="128"/>
      <c r="L336" s="128"/>
      <c r="M336" s="95"/>
      <c r="O336" s="86" t="str">
        <f t="shared" si="57"/>
        <v/>
      </c>
      <c r="P336" s="86" t="str">
        <f t="shared" si="58"/>
        <v/>
      </c>
      <c r="Q336" s="86" t="str">
        <f t="shared" si="59"/>
        <v/>
      </c>
      <c r="R336" s="86" t="str">
        <f t="shared" si="60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3"/>
        <v/>
      </c>
      <c r="E337" s="96"/>
      <c r="F337" s="91" t="str">
        <f t="shared" si="54"/>
        <v/>
      </c>
      <c r="G337" s="129"/>
      <c r="H337" s="91" t="str">
        <f t="shared" si="55"/>
        <v/>
      </c>
      <c r="I337" s="91" t="str">
        <f t="shared" si="56"/>
        <v/>
      </c>
      <c r="J337" s="128"/>
      <c r="K337" s="128"/>
      <c r="L337" s="128"/>
      <c r="M337" s="95"/>
      <c r="O337" s="86" t="str">
        <f t="shared" si="57"/>
        <v/>
      </c>
      <c r="P337" s="86" t="str">
        <f t="shared" si="58"/>
        <v/>
      </c>
      <c r="Q337" s="86" t="str">
        <f t="shared" si="59"/>
        <v/>
      </c>
      <c r="R337" s="86" t="str">
        <f t="shared" si="60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3"/>
        <v/>
      </c>
      <c r="E338" s="96"/>
      <c r="F338" s="91" t="str">
        <f t="shared" si="54"/>
        <v/>
      </c>
      <c r="G338" s="129"/>
      <c r="H338" s="91" t="str">
        <f t="shared" si="55"/>
        <v/>
      </c>
      <c r="I338" s="91" t="str">
        <f t="shared" si="56"/>
        <v/>
      </c>
      <c r="J338" s="128"/>
      <c r="K338" s="128"/>
      <c r="L338" s="128"/>
      <c r="M338" s="95"/>
      <c r="O338" s="86" t="str">
        <f t="shared" si="57"/>
        <v/>
      </c>
      <c r="P338" s="86" t="str">
        <f t="shared" si="58"/>
        <v/>
      </c>
      <c r="Q338" s="86" t="str">
        <f t="shared" si="59"/>
        <v/>
      </c>
      <c r="R338" s="86" t="str">
        <f t="shared" si="60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3"/>
        <v/>
      </c>
      <c r="E339" s="96"/>
      <c r="F339" s="91" t="str">
        <f t="shared" si="54"/>
        <v/>
      </c>
      <c r="G339" s="129"/>
      <c r="H339" s="91" t="str">
        <f t="shared" si="55"/>
        <v/>
      </c>
      <c r="I339" s="91" t="str">
        <f t="shared" si="56"/>
        <v/>
      </c>
      <c r="J339" s="128"/>
      <c r="K339" s="128"/>
      <c r="L339" s="128"/>
      <c r="M339" s="95"/>
      <c r="O339" s="86" t="str">
        <f t="shared" si="57"/>
        <v/>
      </c>
      <c r="P339" s="86" t="str">
        <f t="shared" si="58"/>
        <v/>
      </c>
      <c r="Q339" s="86" t="str">
        <f t="shared" si="59"/>
        <v/>
      </c>
      <c r="R339" s="86" t="str">
        <f t="shared" si="60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3"/>
        <v/>
      </c>
      <c r="E340" s="96"/>
      <c r="F340" s="91" t="str">
        <f t="shared" si="54"/>
        <v/>
      </c>
      <c r="G340" s="129"/>
      <c r="H340" s="91" t="str">
        <f t="shared" si="55"/>
        <v/>
      </c>
      <c r="I340" s="91" t="str">
        <f t="shared" si="56"/>
        <v/>
      </c>
      <c r="J340" s="128"/>
      <c r="K340" s="128"/>
      <c r="L340" s="128"/>
      <c r="M340" s="95"/>
      <c r="O340" s="86" t="str">
        <f t="shared" si="57"/>
        <v/>
      </c>
      <c r="P340" s="86" t="str">
        <f t="shared" si="58"/>
        <v/>
      </c>
      <c r="Q340" s="86" t="str">
        <f t="shared" si="59"/>
        <v/>
      </c>
      <c r="R340" s="86" t="str">
        <f t="shared" si="60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3"/>
        <v/>
      </c>
      <c r="E341" s="96"/>
      <c r="F341" s="91" t="str">
        <f t="shared" si="54"/>
        <v/>
      </c>
      <c r="G341" s="129"/>
      <c r="H341" s="91" t="str">
        <f t="shared" si="55"/>
        <v/>
      </c>
      <c r="I341" s="91" t="str">
        <f t="shared" si="56"/>
        <v/>
      </c>
      <c r="J341" s="128"/>
      <c r="K341" s="128"/>
      <c r="L341" s="128"/>
      <c r="M341" s="95"/>
      <c r="O341" s="86" t="str">
        <f t="shared" si="57"/>
        <v/>
      </c>
      <c r="P341" s="86" t="str">
        <f t="shared" si="58"/>
        <v/>
      </c>
      <c r="Q341" s="86" t="str">
        <f t="shared" si="59"/>
        <v/>
      </c>
      <c r="R341" s="86" t="str">
        <f t="shared" si="60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3"/>
        <v/>
      </c>
      <c r="E342" s="96"/>
      <c r="F342" s="91" t="str">
        <f t="shared" si="54"/>
        <v/>
      </c>
      <c r="G342" s="129"/>
      <c r="H342" s="91" t="str">
        <f t="shared" si="55"/>
        <v/>
      </c>
      <c r="I342" s="91" t="str">
        <f t="shared" si="56"/>
        <v/>
      </c>
      <c r="J342" s="128"/>
      <c r="K342" s="128"/>
      <c r="L342" s="128"/>
      <c r="M342" s="95"/>
      <c r="O342" s="86" t="str">
        <f t="shared" si="57"/>
        <v/>
      </c>
      <c r="P342" s="86" t="str">
        <f t="shared" si="58"/>
        <v/>
      </c>
      <c r="Q342" s="86" t="str">
        <f t="shared" si="59"/>
        <v/>
      </c>
      <c r="R342" s="86" t="str">
        <f t="shared" si="60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3"/>
        <v/>
      </c>
      <c r="E343" s="96"/>
      <c r="F343" s="91" t="str">
        <f t="shared" si="54"/>
        <v/>
      </c>
      <c r="G343" s="129"/>
      <c r="H343" s="91" t="str">
        <f t="shared" si="55"/>
        <v/>
      </c>
      <c r="I343" s="91" t="str">
        <f t="shared" si="56"/>
        <v/>
      </c>
      <c r="J343" s="128"/>
      <c r="K343" s="128"/>
      <c r="L343" s="128"/>
      <c r="M343" s="95"/>
      <c r="O343" s="86" t="str">
        <f t="shared" si="57"/>
        <v/>
      </c>
      <c r="P343" s="86" t="str">
        <f t="shared" si="58"/>
        <v/>
      </c>
      <c r="Q343" s="86" t="str">
        <f t="shared" si="59"/>
        <v/>
      </c>
      <c r="R343" s="86" t="str">
        <f t="shared" si="60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3"/>
        <v/>
      </c>
      <c r="E344" s="96"/>
      <c r="F344" s="91" t="str">
        <f t="shared" si="54"/>
        <v/>
      </c>
      <c r="G344" s="129"/>
      <c r="H344" s="91" t="str">
        <f t="shared" si="55"/>
        <v/>
      </c>
      <c r="I344" s="91" t="str">
        <f t="shared" si="56"/>
        <v/>
      </c>
      <c r="J344" s="128"/>
      <c r="K344" s="128"/>
      <c r="L344" s="128"/>
      <c r="M344" s="95"/>
      <c r="O344" s="86" t="str">
        <f t="shared" si="57"/>
        <v/>
      </c>
      <c r="P344" s="86" t="str">
        <f t="shared" si="58"/>
        <v/>
      </c>
      <c r="Q344" s="86" t="str">
        <f t="shared" si="59"/>
        <v/>
      </c>
      <c r="R344" s="86" t="str">
        <f t="shared" si="60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3"/>
        <v/>
      </c>
      <c r="E345" s="96"/>
      <c r="F345" s="91" t="str">
        <f t="shared" si="54"/>
        <v/>
      </c>
      <c r="G345" s="129"/>
      <c r="H345" s="91" t="str">
        <f t="shared" si="55"/>
        <v/>
      </c>
      <c r="I345" s="91" t="str">
        <f t="shared" si="56"/>
        <v/>
      </c>
      <c r="J345" s="128"/>
      <c r="K345" s="128"/>
      <c r="L345" s="128"/>
      <c r="M345" s="95"/>
      <c r="O345" s="86" t="str">
        <f t="shared" si="57"/>
        <v/>
      </c>
      <c r="P345" s="86" t="str">
        <f t="shared" si="58"/>
        <v/>
      </c>
      <c r="Q345" s="86" t="str">
        <f t="shared" si="59"/>
        <v/>
      </c>
      <c r="R345" s="86" t="str">
        <f t="shared" si="60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3"/>
        <v/>
      </c>
      <c r="E346" s="96"/>
      <c r="F346" s="91" t="str">
        <f t="shared" si="54"/>
        <v/>
      </c>
      <c r="G346" s="129"/>
      <c r="H346" s="91" t="str">
        <f t="shared" si="55"/>
        <v/>
      </c>
      <c r="I346" s="91" t="str">
        <f t="shared" si="56"/>
        <v/>
      </c>
      <c r="J346" s="128"/>
      <c r="K346" s="128"/>
      <c r="L346" s="128"/>
      <c r="M346" s="95"/>
      <c r="O346" s="86" t="str">
        <f t="shared" si="57"/>
        <v/>
      </c>
      <c r="P346" s="86" t="str">
        <f t="shared" si="58"/>
        <v/>
      </c>
      <c r="Q346" s="86" t="str">
        <f t="shared" si="59"/>
        <v/>
      </c>
      <c r="R346" s="86" t="str">
        <f t="shared" si="60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3"/>
        <v/>
      </c>
      <c r="E347" s="96"/>
      <c r="F347" s="91" t="str">
        <f t="shared" si="54"/>
        <v/>
      </c>
      <c r="G347" s="129"/>
      <c r="H347" s="91" t="str">
        <f t="shared" si="55"/>
        <v/>
      </c>
      <c r="I347" s="91" t="str">
        <f t="shared" si="56"/>
        <v/>
      </c>
      <c r="J347" s="128"/>
      <c r="K347" s="128"/>
      <c r="L347" s="128"/>
      <c r="M347" s="95"/>
      <c r="O347" s="86" t="str">
        <f t="shared" si="57"/>
        <v/>
      </c>
      <c r="P347" s="86" t="str">
        <f t="shared" si="58"/>
        <v/>
      </c>
      <c r="Q347" s="86" t="str">
        <f t="shared" si="59"/>
        <v/>
      </c>
      <c r="R347" s="86" t="str">
        <f t="shared" si="60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3"/>
        <v/>
      </c>
      <c r="E348" s="96"/>
      <c r="F348" s="91" t="str">
        <f t="shared" si="54"/>
        <v/>
      </c>
      <c r="G348" s="129"/>
      <c r="H348" s="91" t="str">
        <f t="shared" si="55"/>
        <v/>
      </c>
      <c r="I348" s="91" t="str">
        <f t="shared" si="56"/>
        <v/>
      </c>
      <c r="J348" s="128"/>
      <c r="K348" s="128"/>
      <c r="L348" s="128"/>
      <c r="M348" s="95"/>
      <c r="O348" s="86" t="str">
        <f t="shared" si="57"/>
        <v/>
      </c>
      <c r="P348" s="86" t="str">
        <f t="shared" si="58"/>
        <v/>
      </c>
      <c r="Q348" s="86" t="str">
        <f t="shared" si="59"/>
        <v/>
      </c>
      <c r="R348" s="86" t="str">
        <f t="shared" si="60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3"/>
        <v/>
      </c>
      <c r="E349" s="96"/>
      <c r="F349" s="91" t="str">
        <f t="shared" si="54"/>
        <v/>
      </c>
      <c r="G349" s="129"/>
      <c r="H349" s="91" t="str">
        <f t="shared" si="55"/>
        <v/>
      </c>
      <c r="I349" s="91" t="str">
        <f t="shared" si="56"/>
        <v/>
      </c>
      <c r="J349" s="128"/>
      <c r="K349" s="128"/>
      <c r="L349" s="128"/>
      <c r="M349" s="95"/>
      <c r="O349" s="86" t="str">
        <f t="shared" si="57"/>
        <v/>
      </c>
      <c r="P349" s="86" t="str">
        <f t="shared" si="58"/>
        <v/>
      </c>
      <c r="Q349" s="86" t="str">
        <f t="shared" si="59"/>
        <v/>
      </c>
      <c r="R349" s="86" t="str">
        <f t="shared" si="60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3"/>
        <v/>
      </c>
      <c r="E350" s="96"/>
      <c r="F350" s="91" t="str">
        <f t="shared" si="54"/>
        <v/>
      </c>
      <c r="G350" s="129"/>
      <c r="H350" s="91" t="str">
        <f t="shared" si="55"/>
        <v/>
      </c>
      <c r="I350" s="91" t="str">
        <f t="shared" si="56"/>
        <v/>
      </c>
      <c r="J350" s="128"/>
      <c r="K350" s="128"/>
      <c r="L350" s="128"/>
      <c r="M350" s="95"/>
      <c r="O350" s="86" t="str">
        <f t="shared" si="57"/>
        <v/>
      </c>
      <c r="P350" s="86" t="str">
        <f t="shared" si="58"/>
        <v/>
      </c>
      <c r="Q350" s="86" t="str">
        <f t="shared" si="59"/>
        <v/>
      </c>
      <c r="R350" s="86" t="str">
        <f t="shared" si="60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3"/>
        <v/>
      </c>
      <c r="E351" s="96"/>
      <c r="F351" s="91" t="str">
        <f t="shared" si="54"/>
        <v/>
      </c>
      <c r="G351" s="129"/>
      <c r="H351" s="91" t="str">
        <f t="shared" si="55"/>
        <v/>
      </c>
      <c r="I351" s="91" t="str">
        <f t="shared" si="56"/>
        <v/>
      </c>
      <c r="J351" s="128"/>
      <c r="K351" s="128"/>
      <c r="L351" s="128"/>
      <c r="M351" s="95"/>
      <c r="O351" s="86" t="str">
        <f t="shared" si="57"/>
        <v/>
      </c>
      <c r="P351" s="86" t="str">
        <f t="shared" si="58"/>
        <v/>
      </c>
      <c r="Q351" s="86" t="str">
        <f t="shared" si="59"/>
        <v/>
      </c>
      <c r="R351" s="86" t="str">
        <f t="shared" si="60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3"/>
        <v/>
      </c>
      <c r="E352" s="96"/>
      <c r="F352" s="91" t="str">
        <f t="shared" si="54"/>
        <v/>
      </c>
      <c r="G352" s="129"/>
      <c r="H352" s="91" t="str">
        <f t="shared" si="55"/>
        <v/>
      </c>
      <c r="I352" s="91" t="str">
        <f t="shared" si="56"/>
        <v/>
      </c>
      <c r="J352" s="128"/>
      <c r="K352" s="128"/>
      <c r="L352" s="128"/>
      <c r="M352" s="95"/>
      <c r="O352" s="86" t="str">
        <f t="shared" si="57"/>
        <v/>
      </c>
      <c r="P352" s="86" t="str">
        <f t="shared" si="58"/>
        <v/>
      </c>
      <c r="Q352" s="86" t="str">
        <f t="shared" si="59"/>
        <v/>
      </c>
      <c r="R352" s="86" t="str">
        <f t="shared" si="60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3"/>
        <v/>
      </c>
      <c r="E353" s="96"/>
      <c r="F353" s="91" t="str">
        <f t="shared" si="54"/>
        <v/>
      </c>
      <c r="G353" s="129"/>
      <c r="H353" s="91" t="str">
        <f t="shared" si="55"/>
        <v/>
      </c>
      <c r="I353" s="91" t="str">
        <f t="shared" si="56"/>
        <v/>
      </c>
      <c r="J353" s="128"/>
      <c r="K353" s="128"/>
      <c r="L353" s="128"/>
      <c r="M353" s="95"/>
      <c r="O353" s="86" t="str">
        <f t="shared" si="57"/>
        <v/>
      </c>
      <c r="P353" s="86" t="str">
        <f t="shared" si="58"/>
        <v/>
      </c>
      <c r="Q353" s="86" t="str">
        <f t="shared" si="59"/>
        <v/>
      </c>
      <c r="R353" s="86" t="str">
        <f t="shared" si="60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3"/>
        <v/>
      </c>
      <c r="E354" s="96"/>
      <c r="F354" s="91" t="str">
        <f t="shared" si="54"/>
        <v/>
      </c>
      <c r="G354" s="129"/>
      <c r="H354" s="91" t="str">
        <f t="shared" si="55"/>
        <v/>
      </c>
      <c r="I354" s="91" t="str">
        <f t="shared" si="56"/>
        <v/>
      </c>
      <c r="J354" s="128"/>
      <c r="K354" s="128"/>
      <c r="L354" s="128"/>
      <c r="M354" s="95"/>
      <c r="O354" s="86" t="str">
        <f t="shared" si="57"/>
        <v/>
      </c>
      <c r="P354" s="86" t="str">
        <f t="shared" si="58"/>
        <v/>
      </c>
      <c r="Q354" s="86" t="str">
        <f t="shared" si="59"/>
        <v/>
      </c>
      <c r="R354" s="86" t="str">
        <f t="shared" si="60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3"/>
        <v/>
      </c>
      <c r="E355" s="96"/>
      <c r="F355" s="91" t="str">
        <f t="shared" si="54"/>
        <v/>
      </c>
      <c r="G355" s="129"/>
      <c r="H355" s="91" t="str">
        <f t="shared" si="55"/>
        <v/>
      </c>
      <c r="I355" s="91" t="str">
        <f t="shared" si="56"/>
        <v/>
      </c>
      <c r="J355" s="128"/>
      <c r="K355" s="128"/>
      <c r="L355" s="128"/>
      <c r="M355" s="95"/>
      <c r="O355" s="86" t="str">
        <f t="shared" si="57"/>
        <v/>
      </c>
      <c r="P355" s="86" t="str">
        <f t="shared" si="58"/>
        <v/>
      </c>
      <c r="Q355" s="86" t="str">
        <f t="shared" si="59"/>
        <v/>
      </c>
      <c r="R355" s="86" t="str">
        <f t="shared" si="60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3"/>
        <v/>
      </c>
      <c r="E356" s="96"/>
      <c r="F356" s="91" t="str">
        <f t="shared" si="54"/>
        <v/>
      </c>
      <c r="G356" s="129"/>
      <c r="H356" s="91" t="str">
        <f t="shared" si="55"/>
        <v/>
      </c>
      <c r="I356" s="91" t="str">
        <f t="shared" si="56"/>
        <v/>
      </c>
      <c r="J356" s="128"/>
      <c r="K356" s="128"/>
      <c r="L356" s="128"/>
      <c r="M356" s="95"/>
      <c r="O356" s="86" t="str">
        <f t="shared" si="57"/>
        <v/>
      </c>
      <c r="P356" s="86" t="str">
        <f t="shared" si="58"/>
        <v/>
      </c>
      <c r="Q356" s="86" t="str">
        <f t="shared" si="59"/>
        <v/>
      </c>
      <c r="R356" s="86" t="str">
        <f t="shared" si="60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3"/>
        <v/>
      </c>
      <c r="E357" s="96"/>
      <c r="F357" s="91" t="str">
        <f t="shared" si="54"/>
        <v/>
      </c>
      <c r="G357" s="129"/>
      <c r="H357" s="91" t="str">
        <f t="shared" si="55"/>
        <v/>
      </c>
      <c r="I357" s="91" t="str">
        <f t="shared" si="56"/>
        <v/>
      </c>
      <c r="J357" s="128"/>
      <c r="K357" s="128"/>
      <c r="L357" s="128"/>
      <c r="M357" s="95"/>
      <c r="O357" s="86" t="str">
        <f t="shared" si="57"/>
        <v/>
      </c>
      <c r="P357" s="86" t="str">
        <f t="shared" si="58"/>
        <v/>
      </c>
      <c r="Q357" s="86" t="str">
        <f t="shared" si="59"/>
        <v/>
      </c>
      <c r="R357" s="86" t="str">
        <f t="shared" si="60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3"/>
        <v/>
      </c>
      <c r="E358" s="96"/>
      <c r="F358" s="91" t="str">
        <f t="shared" si="54"/>
        <v/>
      </c>
      <c r="G358" s="129"/>
      <c r="H358" s="91" t="str">
        <f t="shared" si="55"/>
        <v/>
      </c>
      <c r="I358" s="91" t="str">
        <f t="shared" si="56"/>
        <v/>
      </c>
      <c r="J358" s="128"/>
      <c r="K358" s="128"/>
      <c r="L358" s="128"/>
      <c r="M358" s="95"/>
      <c r="O358" s="86" t="str">
        <f t="shared" si="57"/>
        <v/>
      </c>
      <c r="P358" s="86" t="str">
        <f t="shared" si="58"/>
        <v/>
      </c>
      <c r="Q358" s="86" t="str">
        <f t="shared" si="59"/>
        <v/>
      </c>
      <c r="R358" s="86" t="str">
        <f t="shared" si="60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3"/>
        <v/>
      </c>
      <c r="E359" s="96"/>
      <c r="F359" s="91" t="str">
        <f t="shared" si="54"/>
        <v/>
      </c>
      <c r="G359" s="129"/>
      <c r="H359" s="91" t="str">
        <f t="shared" si="55"/>
        <v/>
      </c>
      <c r="I359" s="91" t="str">
        <f t="shared" si="56"/>
        <v/>
      </c>
      <c r="J359" s="128"/>
      <c r="K359" s="128"/>
      <c r="L359" s="128"/>
      <c r="M359" s="95"/>
      <c r="O359" s="86" t="str">
        <f t="shared" si="57"/>
        <v/>
      </c>
      <c r="P359" s="86" t="str">
        <f t="shared" si="58"/>
        <v/>
      </c>
      <c r="Q359" s="86" t="str">
        <f t="shared" si="59"/>
        <v/>
      </c>
      <c r="R359" s="86" t="str">
        <f t="shared" si="60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3"/>
        <v/>
      </c>
      <c r="E360" s="96"/>
      <c r="F360" s="91" t="str">
        <f t="shared" si="54"/>
        <v/>
      </c>
      <c r="G360" s="129"/>
      <c r="H360" s="91" t="str">
        <f t="shared" si="55"/>
        <v/>
      </c>
      <c r="I360" s="91" t="str">
        <f t="shared" si="56"/>
        <v/>
      </c>
      <c r="J360" s="128"/>
      <c r="K360" s="128"/>
      <c r="L360" s="128"/>
      <c r="M360" s="95"/>
      <c r="O360" s="86" t="str">
        <f t="shared" si="57"/>
        <v/>
      </c>
      <c r="P360" s="86" t="str">
        <f t="shared" si="58"/>
        <v/>
      </c>
      <c r="Q360" s="86" t="str">
        <f t="shared" si="59"/>
        <v/>
      </c>
      <c r="R360" s="86" t="str">
        <f t="shared" si="60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3"/>
        <v/>
      </c>
      <c r="E361" s="96"/>
      <c r="F361" s="91" t="str">
        <f t="shared" si="54"/>
        <v/>
      </c>
      <c r="G361" s="129"/>
      <c r="H361" s="91" t="str">
        <f t="shared" si="55"/>
        <v/>
      </c>
      <c r="I361" s="91" t="str">
        <f t="shared" si="56"/>
        <v/>
      </c>
      <c r="J361" s="128"/>
      <c r="K361" s="128"/>
      <c r="L361" s="128"/>
      <c r="M361" s="95"/>
      <c r="O361" s="86" t="str">
        <f t="shared" si="57"/>
        <v/>
      </c>
      <c r="P361" s="86" t="str">
        <f t="shared" si="58"/>
        <v/>
      </c>
      <c r="Q361" s="86" t="str">
        <f t="shared" si="59"/>
        <v/>
      </c>
      <c r="R361" s="86" t="str">
        <f t="shared" si="60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3"/>
        <v/>
      </c>
      <c r="E362" s="96"/>
      <c r="F362" s="91" t="str">
        <f t="shared" si="54"/>
        <v/>
      </c>
      <c r="G362" s="129"/>
      <c r="H362" s="91" t="str">
        <f t="shared" si="55"/>
        <v/>
      </c>
      <c r="I362" s="91" t="str">
        <f t="shared" si="56"/>
        <v/>
      </c>
      <c r="J362" s="128"/>
      <c r="K362" s="128"/>
      <c r="L362" s="128"/>
      <c r="M362" s="95"/>
      <c r="O362" s="86" t="str">
        <f t="shared" si="57"/>
        <v/>
      </c>
      <c r="P362" s="86" t="str">
        <f t="shared" si="58"/>
        <v/>
      </c>
      <c r="Q362" s="86" t="str">
        <f t="shared" si="59"/>
        <v/>
      </c>
      <c r="R362" s="86" t="str">
        <f t="shared" si="60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3"/>
        <v/>
      </c>
      <c r="E363" s="96"/>
      <c r="F363" s="91" t="str">
        <f t="shared" si="54"/>
        <v/>
      </c>
      <c r="G363" s="129"/>
      <c r="H363" s="91" t="str">
        <f t="shared" si="55"/>
        <v/>
      </c>
      <c r="I363" s="91" t="str">
        <f t="shared" si="56"/>
        <v/>
      </c>
      <c r="J363" s="128"/>
      <c r="K363" s="128"/>
      <c r="L363" s="128"/>
      <c r="M363" s="95"/>
      <c r="O363" s="86" t="str">
        <f t="shared" si="57"/>
        <v/>
      </c>
      <c r="P363" s="86" t="str">
        <f t="shared" si="58"/>
        <v/>
      </c>
      <c r="Q363" s="86" t="str">
        <f t="shared" si="59"/>
        <v/>
      </c>
      <c r="R363" s="86" t="str">
        <f t="shared" si="60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3"/>
        <v/>
      </c>
      <c r="E364" s="96"/>
      <c r="F364" s="91" t="str">
        <f t="shared" si="54"/>
        <v/>
      </c>
      <c r="G364" s="129"/>
      <c r="H364" s="91" t="str">
        <f t="shared" si="55"/>
        <v/>
      </c>
      <c r="I364" s="91" t="str">
        <f t="shared" si="56"/>
        <v/>
      </c>
      <c r="J364" s="128"/>
      <c r="K364" s="128"/>
      <c r="L364" s="128"/>
      <c r="M364" s="95"/>
      <c r="O364" s="86" t="str">
        <f t="shared" si="57"/>
        <v/>
      </c>
      <c r="P364" s="86" t="str">
        <f t="shared" si="58"/>
        <v/>
      </c>
      <c r="Q364" s="86" t="str">
        <f t="shared" si="59"/>
        <v/>
      </c>
      <c r="R364" s="86" t="str">
        <f t="shared" si="60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3"/>
        <v/>
      </c>
      <c r="E365" s="96"/>
      <c r="F365" s="91" t="str">
        <f t="shared" si="54"/>
        <v/>
      </c>
      <c r="G365" s="129"/>
      <c r="H365" s="91" t="str">
        <f t="shared" si="55"/>
        <v/>
      </c>
      <c r="I365" s="91" t="str">
        <f t="shared" si="56"/>
        <v/>
      </c>
      <c r="J365" s="128"/>
      <c r="K365" s="128"/>
      <c r="L365" s="128"/>
      <c r="M365" s="95"/>
      <c r="O365" s="86" t="str">
        <f t="shared" si="57"/>
        <v/>
      </c>
      <c r="P365" s="86" t="str">
        <f t="shared" si="58"/>
        <v/>
      </c>
      <c r="Q365" s="86" t="str">
        <f t="shared" si="59"/>
        <v/>
      </c>
      <c r="R365" s="86" t="str">
        <f t="shared" si="60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3"/>
        <v/>
      </c>
      <c r="E366" s="96"/>
      <c r="F366" s="91" t="str">
        <f t="shared" si="54"/>
        <v/>
      </c>
      <c r="G366" s="129"/>
      <c r="H366" s="91" t="str">
        <f t="shared" si="55"/>
        <v/>
      </c>
      <c r="I366" s="91" t="str">
        <f t="shared" si="56"/>
        <v/>
      </c>
      <c r="J366" s="128"/>
      <c r="K366" s="128"/>
      <c r="L366" s="128"/>
      <c r="M366" s="95"/>
      <c r="O366" s="86" t="str">
        <f t="shared" si="57"/>
        <v/>
      </c>
      <c r="P366" s="86" t="str">
        <f t="shared" si="58"/>
        <v/>
      </c>
      <c r="Q366" s="86" t="str">
        <f t="shared" si="59"/>
        <v/>
      </c>
      <c r="R366" s="86" t="str">
        <f t="shared" si="60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3"/>
        <v/>
      </c>
      <c r="E367" s="96"/>
      <c r="F367" s="91" t="str">
        <f t="shared" si="54"/>
        <v/>
      </c>
      <c r="G367" s="129"/>
      <c r="H367" s="91" t="str">
        <f t="shared" si="55"/>
        <v/>
      </c>
      <c r="I367" s="91" t="str">
        <f t="shared" si="56"/>
        <v/>
      </c>
      <c r="J367" s="128"/>
      <c r="K367" s="128"/>
      <c r="L367" s="128"/>
      <c r="M367" s="95"/>
      <c r="O367" s="86" t="str">
        <f t="shared" si="57"/>
        <v/>
      </c>
      <c r="P367" s="86" t="str">
        <f t="shared" si="58"/>
        <v/>
      </c>
      <c r="Q367" s="86" t="str">
        <f t="shared" si="59"/>
        <v/>
      </c>
      <c r="R367" s="86" t="str">
        <f t="shared" si="60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3"/>
        <v/>
      </c>
      <c r="E368" s="96"/>
      <c r="F368" s="91" t="str">
        <f t="shared" si="54"/>
        <v/>
      </c>
      <c r="G368" s="129"/>
      <c r="H368" s="91" t="str">
        <f t="shared" si="55"/>
        <v/>
      </c>
      <c r="I368" s="91" t="str">
        <f t="shared" si="56"/>
        <v/>
      </c>
      <c r="J368" s="128"/>
      <c r="K368" s="128"/>
      <c r="L368" s="128"/>
      <c r="M368" s="95"/>
      <c r="O368" s="86" t="str">
        <f t="shared" si="57"/>
        <v/>
      </c>
      <c r="P368" s="86" t="str">
        <f t="shared" si="58"/>
        <v/>
      </c>
      <c r="Q368" s="86" t="str">
        <f t="shared" si="59"/>
        <v/>
      </c>
      <c r="R368" s="86" t="str">
        <f t="shared" si="60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3"/>
        <v/>
      </c>
      <c r="E369" s="96"/>
      <c r="F369" s="91" t="str">
        <f t="shared" si="54"/>
        <v/>
      </c>
      <c r="G369" s="129"/>
      <c r="H369" s="91" t="str">
        <f t="shared" si="55"/>
        <v/>
      </c>
      <c r="I369" s="91" t="str">
        <f t="shared" si="56"/>
        <v/>
      </c>
      <c r="J369" s="128"/>
      <c r="K369" s="128"/>
      <c r="L369" s="128"/>
      <c r="M369" s="95"/>
      <c r="O369" s="86" t="str">
        <f t="shared" si="57"/>
        <v/>
      </c>
      <c r="P369" s="86" t="str">
        <f t="shared" si="58"/>
        <v/>
      </c>
      <c r="Q369" s="86" t="str">
        <f t="shared" si="59"/>
        <v/>
      </c>
      <c r="R369" s="86" t="str">
        <f t="shared" si="60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3"/>
        <v/>
      </c>
      <c r="E370" s="96"/>
      <c r="F370" s="91" t="str">
        <f t="shared" si="54"/>
        <v/>
      </c>
      <c r="G370" s="129"/>
      <c r="H370" s="91" t="str">
        <f t="shared" si="55"/>
        <v/>
      </c>
      <c r="I370" s="91" t="str">
        <f t="shared" si="56"/>
        <v/>
      </c>
      <c r="J370" s="128"/>
      <c r="K370" s="128"/>
      <c r="L370" s="128"/>
      <c r="M370" s="95"/>
      <c r="O370" s="86" t="str">
        <f t="shared" si="57"/>
        <v/>
      </c>
      <c r="P370" s="86" t="str">
        <f t="shared" si="58"/>
        <v/>
      </c>
      <c r="Q370" s="86" t="str">
        <f t="shared" si="59"/>
        <v/>
      </c>
      <c r="R370" s="86" t="str">
        <f t="shared" si="60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3"/>
        <v/>
      </c>
      <c r="E371" s="96"/>
      <c r="F371" s="91" t="str">
        <f t="shared" si="54"/>
        <v/>
      </c>
      <c r="G371" s="129"/>
      <c r="H371" s="91" t="str">
        <f t="shared" si="55"/>
        <v/>
      </c>
      <c r="I371" s="91" t="str">
        <f t="shared" si="56"/>
        <v/>
      </c>
      <c r="J371" s="128"/>
      <c r="K371" s="128"/>
      <c r="L371" s="128"/>
      <c r="M371" s="95"/>
      <c r="O371" s="86" t="str">
        <f t="shared" si="57"/>
        <v/>
      </c>
      <c r="P371" s="86" t="str">
        <f t="shared" si="58"/>
        <v/>
      </c>
      <c r="Q371" s="86" t="str">
        <f t="shared" si="59"/>
        <v/>
      </c>
      <c r="R371" s="86" t="str">
        <f t="shared" si="60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3"/>
        <v/>
      </c>
      <c r="E372" s="96"/>
      <c r="F372" s="91" t="str">
        <f t="shared" si="54"/>
        <v/>
      </c>
      <c r="G372" s="129"/>
      <c r="H372" s="91" t="str">
        <f t="shared" si="55"/>
        <v/>
      </c>
      <c r="I372" s="91" t="str">
        <f t="shared" si="56"/>
        <v/>
      </c>
      <c r="J372" s="128"/>
      <c r="K372" s="128"/>
      <c r="L372" s="128"/>
      <c r="M372" s="95"/>
      <c r="O372" s="86" t="str">
        <f t="shared" si="57"/>
        <v/>
      </c>
      <c r="P372" s="86" t="str">
        <f t="shared" si="58"/>
        <v/>
      </c>
      <c r="Q372" s="86" t="str">
        <f t="shared" si="59"/>
        <v/>
      </c>
      <c r="R372" s="86" t="str">
        <f t="shared" si="60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3"/>
        <v/>
      </c>
      <c r="E373" s="96"/>
      <c r="F373" s="91" t="str">
        <f t="shared" si="54"/>
        <v/>
      </c>
      <c r="G373" s="129"/>
      <c r="H373" s="91" t="str">
        <f t="shared" si="55"/>
        <v/>
      </c>
      <c r="I373" s="91" t="str">
        <f t="shared" si="56"/>
        <v/>
      </c>
      <c r="J373" s="128"/>
      <c r="K373" s="128"/>
      <c r="L373" s="128"/>
      <c r="M373" s="95"/>
      <c r="O373" s="86" t="str">
        <f t="shared" si="57"/>
        <v/>
      </c>
      <c r="P373" s="86" t="str">
        <f t="shared" si="58"/>
        <v/>
      </c>
      <c r="Q373" s="86" t="str">
        <f t="shared" si="59"/>
        <v/>
      </c>
      <c r="R373" s="86" t="str">
        <f t="shared" si="60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3"/>
        <v/>
      </c>
      <c r="E374" s="96"/>
      <c r="F374" s="91" t="str">
        <f t="shared" si="54"/>
        <v/>
      </c>
      <c r="G374" s="129"/>
      <c r="H374" s="91" t="str">
        <f t="shared" si="55"/>
        <v/>
      </c>
      <c r="I374" s="91" t="str">
        <f t="shared" si="56"/>
        <v/>
      </c>
      <c r="J374" s="128"/>
      <c r="K374" s="128"/>
      <c r="L374" s="128"/>
      <c r="M374" s="95"/>
      <c r="O374" s="86" t="str">
        <f t="shared" si="57"/>
        <v/>
      </c>
      <c r="P374" s="86" t="str">
        <f t="shared" si="58"/>
        <v/>
      </c>
      <c r="Q374" s="86" t="str">
        <f t="shared" si="59"/>
        <v/>
      </c>
      <c r="R374" s="86" t="str">
        <f t="shared" si="60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3"/>
        <v/>
      </c>
      <c r="E375" s="96"/>
      <c r="F375" s="91" t="str">
        <f t="shared" si="54"/>
        <v/>
      </c>
      <c r="G375" s="129"/>
      <c r="H375" s="91" t="str">
        <f t="shared" si="55"/>
        <v/>
      </c>
      <c r="I375" s="91" t="str">
        <f t="shared" si="56"/>
        <v/>
      </c>
      <c r="J375" s="128"/>
      <c r="K375" s="128"/>
      <c r="L375" s="128"/>
      <c r="M375" s="95"/>
      <c r="O375" s="86" t="str">
        <f t="shared" si="57"/>
        <v/>
      </c>
      <c r="P375" s="86" t="str">
        <f t="shared" si="58"/>
        <v/>
      </c>
      <c r="Q375" s="86" t="str">
        <f t="shared" si="59"/>
        <v/>
      </c>
      <c r="R375" s="86" t="str">
        <f t="shared" si="60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3"/>
        <v/>
      </c>
      <c r="E376" s="96"/>
      <c r="F376" s="91" t="str">
        <f t="shared" si="54"/>
        <v/>
      </c>
      <c r="G376" s="129"/>
      <c r="H376" s="91" t="str">
        <f t="shared" si="55"/>
        <v/>
      </c>
      <c r="I376" s="91" t="str">
        <f t="shared" si="56"/>
        <v/>
      </c>
      <c r="J376" s="128"/>
      <c r="K376" s="128"/>
      <c r="L376" s="128"/>
      <c r="M376" s="95"/>
      <c r="O376" s="86" t="str">
        <f t="shared" si="57"/>
        <v/>
      </c>
      <c r="P376" s="86" t="str">
        <f t="shared" si="58"/>
        <v/>
      </c>
      <c r="Q376" s="86" t="str">
        <f t="shared" si="59"/>
        <v/>
      </c>
      <c r="R376" s="86" t="str">
        <f t="shared" si="60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3"/>
        <v/>
      </c>
      <c r="E377" s="96"/>
      <c r="F377" s="91" t="str">
        <f t="shared" si="54"/>
        <v/>
      </c>
      <c r="G377" s="129"/>
      <c r="H377" s="91" t="str">
        <f t="shared" si="55"/>
        <v/>
      </c>
      <c r="I377" s="91" t="str">
        <f t="shared" si="56"/>
        <v/>
      </c>
      <c r="J377" s="128"/>
      <c r="K377" s="128"/>
      <c r="L377" s="128"/>
      <c r="M377" s="95"/>
      <c r="O377" s="86" t="str">
        <f t="shared" si="57"/>
        <v/>
      </c>
      <c r="P377" s="86" t="str">
        <f t="shared" si="58"/>
        <v/>
      </c>
      <c r="Q377" s="86" t="str">
        <f t="shared" si="59"/>
        <v/>
      </c>
      <c r="R377" s="86" t="str">
        <f t="shared" si="60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3"/>
        <v/>
      </c>
      <c r="E378" s="96"/>
      <c r="F378" s="91" t="str">
        <f t="shared" si="54"/>
        <v/>
      </c>
      <c r="G378" s="129"/>
      <c r="H378" s="91" t="str">
        <f t="shared" si="55"/>
        <v/>
      </c>
      <c r="I378" s="91" t="str">
        <f t="shared" si="56"/>
        <v/>
      </c>
      <c r="J378" s="128"/>
      <c r="K378" s="128"/>
      <c r="L378" s="128"/>
      <c r="M378" s="95"/>
      <c r="O378" s="86" t="str">
        <f t="shared" si="57"/>
        <v/>
      </c>
      <c r="P378" s="86" t="str">
        <f t="shared" si="58"/>
        <v/>
      </c>
      <c r="Q378" s="86" t="str">
        <f t="shared" si="59"/>
        <v/>
      </c>
      <c r="R378" s="86" t="str">
        <f t="shared" si="60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3"/>
        <v/>
      </c>
      <c r="E379" s="96"/>
      <c r="F379" s="91" t="str">
        <f t="shared" si="54"/>
        <v/>
      </c>
      <c r="G379" s="129"/>
      <c r="H379" s="91" t="str">
        <f t="shared" si="55"/>
        <v/>
      </c>
      <c r="I379" s="91" t="str">
        <f t="shared" si="56"/>
        <v/>
      </c>
      <c r="J379" s="128"/>
      <c r="K379" s="128"/>
      <c r="L379" s="128"/>
      <c r="M379" s="95"/>
      <c r="O379" s="86" t="str">
        <f t="shared" si="57"/>
        <v/>
      </c>
      <c r="P379" s="86" t="str">
        <f t="shared" si="58"/>
        <v/>
      </c>
      <c r="Q379" s="86" t="str">
        <f t="shared" si="59"/>
        <v/>
      </c>
      <c r="R379" s="86" t="str">
        <f t="shared" si="60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3"/>
        <v/>
      </c>
      <c r="E380" s="96"/>
      <c r="F380" s="91" t="str">
        <f t="shared" si="54"/>
        <v/>
      </c>
      <c r="G380" s="129"/>
      <c r="H380" s="91" t="str">
        <f t="shared" si="55"/>
        <v/>
      </c>
      <c r="I380" s="91" t="str">
        <f t="shared" si="56"/>
        <v/>
      </c>
      <c r="J380" s="128"/>
      <c r="K380" s="128"/>
      <c r="L380" s="128"/>
      <c r="M380" s="95"/>
      <c r="O380" s="86" t="str">
        <f t="shared" si="57"/>
        <v/>
      </c>
      <c r="P380" s="86" t="str">
        <f t="shared" si="58"/>
        <v/>
      </c>
      <c r="Q380" s="86" t="str">
        <f t="shared" si="59"/>
        <v/>
      </c>
      <c r="R380" s="86" t="str">
        <f t="shared" si="60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3"/>
        <v/>
      </c>
      <c r="E381" s="96"/>
      <c r="F381" s="91" t="str">
        <f t="shared" si="54"/>
        <v/>
      </c>
      <c r="G381" s="129"/>
      <c r="H381" s="91" t="str">
        <f t="shared" si="55"/>
        <v/>
      </c>
      <c r="I381" s="91" t="str">
        <f t="shared" si="56"/>
        <v/>
      </c>
      <c r="J381" s="128"/>
      <c r="K381" s="128"/>
      <c r="L381" s="128"/>
      <c r="M381" s="95"/>
      <c r="O381" s="86" t="str">
        <f t="shared" si="57"/>
        <v/>
      </c>
      <c r="P381" s="86" t="str">
        <f t="shared" si="58"/>
        <v/>
      </c>
      <c r="Q381" s="86" t="str">
        <f t="shared" si="59"/>
        <v/>
      </c>
      <c r="R381" s="86" t="str">
        <f t="shared" si="60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3"/>
        <v/>
      </c>
      <c r="E382" s="96"/>
      <c r="F382" s="91" t="str">
        <f t="shared" si="54"/>
        <v/>
      </c>
      <c r="G382" s="129"/>
      <c r="H382" s="91" t="str">
        <f t="shared" si="55"/>
        <v/>
      </c>
      <c r="I382" s="91" t="str">
        <f t="shared" si="56"/>
        <v/>
      </c>
      <c r="J382" s="128"/>
      <c r="K382" s="128"/>
      <c r="L382" s="128"/>
      <c r="M382" s="95"/>
      <c r="O382" s="86" t="str">
        <f t="shared" si="57"/>
        <v/>
      </c>
      <c r="P382" s="86" t="str">
        <f t="shared" si="58"/>
        <v/>
      </c>
      <c r="Q382" s="86" t="str">
        <f t="shared" si="59"/>
        <v/>
      </c>
      <c r="R382" s="86" t="str">
        <f t="shared" si="60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3"/>
        <v/>
      </c>
      <c r="E383" s="96"/>
      <c r="F383" s="91" t="str">
        <f t="shared" si="54"/>
        <v/>
      </c>
      <c r="G383" s="129"/>
      <c r="H383" s="91" t="str">
        <f t="shared" si="55"/>
        <v/>
      </c>
      <c r="I383" s="91" t="str">
        <f t="shared" si="56"/>
        <v/>
      </c>
      <c r="J383" s="128"/>
      <c r="K383" s="128"/>
      <c r="L383" s="128"/>
      <c r="M383" s="95"/>
      <c r="O383" s="86" t="str">
        <f t="shared" si="57"/>
        <v/>
      </c>
      <c r="P383" s="86" t="str">
        <f t="shared" si="58"/>
        <v/>
      </c>
      <c r="Q383" s="86" t="str">
        <f t="shared" si="59"/>
        <v/>
      </c>
      <c r="R383" s="86" t="str">
        <f t="shared" si="60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3"/>
        <v/>
      </c>
      <c r="E384" s="96"/>
      <c r="F384" s="91" t="str">
        <f t="shared" si="54"/>
        <v/>
      </c>
      <c r="G384" s="129"/>
      <c r="H384" s="91" t="str">
        <f t="shared" si="55"/>
        <v/>
      </c>
      <c r="I384" s="91" t="str">
        <f t="shared" si="56"/>
        <v/>
      </c>
      <c r="J384" s="128"/>
      <c r="K384" s="128"/>
      <c r="L384" s="128"/>
      <c r="M384" s="95"/>
      <c r="O384" s="86" t="str">
        <f t="shared" si="57"/>
        <v/>
      </c>
      <c r="P384" s="86" t="str">
        <f t="shared" si="58"/>
        <v/>
      </c>
      <c r="Q384" s="86" t="str">
        <f t="shared" si="59"/>
        <v/>
      </c>
      <c r="R384" s="86" t="str">
        <f t="shared" si="60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3"/>
        <v/>
      </c>
      <c r="E385" s="96"/>
      <c r="F385" s="91" t="str">
        <f t="shared" si="54"/>
        <v/>
      </c>
      <c r="G385" s="129"/>
      <c r="H385" s="91" t="str">
        <f t="shared" si="55"/>
        <v/>
      </c>
      <c r="I385" s="91" t="str">
        <f t="shared" si="56"/>
        <v/>
      </c>
      <c r="J385" s="128"/>
      <c r="K385" s="128"/>
      <c r="L385" s="128"/>
      <c r="M385" s="95"/>
      <c r="O385" s="86" t="str">
        <f t="shared" si="57"/>
        <v/>
      </c>
      <c r="P385" s="86" t="str">
        <f t="shared" si="58"/>
        <v/>
      </c>
      <c r="Q385" s="86" t="str">
        <f t="shared" si="59"/>
        <v/>
      </c>
      <c r="R385" s="86" t="str">
        <f t="shared" si="60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3"/>
        <v/>
      </c>
      <c r="E386" s="96"/>
      <c r="F386" s="91" t="str">
        <f t="shared" si="54"/>
        <v/>
      </c>
      <c r="G386" s="129"/>
      <c r="H386" s="91" t="str">
        <f t="shared" si="55"/>
        <v/>
      </c>
      <c r="I386" s="91" t="str">
        <f t="shared" si="56"/>
        <v/>
      </c>
      <c r="J386" s="128"/>
      <c r="K386" s="128"/>
      <c r="L386" s="128"/>
      <c r="M386" s="95"/>
      <c r="O386" s="86" t="str">
        <f t="shared" si="57"/>
        <v/>
      </c>
      <c r="P386" s="86" t="str">
        <f t="shared" si="58"/>
        <v/>
      </c>
      <c r="Q386" s="86" t="str">
        <f t="shared" si="59"/>
        <v/>
      </c>
      <c r="R386" s="86" t="str">
        <f t="shared" si="60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61">IFERROR(VLOOKUP(C387,$S$6:$T$24,2,FALSE),"")</f>
        <v/>
      </c>
      <c r="E387" s="96"/>
      <c r="F387" s="91" t="str">
        <f t="shared" si="54"/>
        <v/>
      </c>
      <c r="G387" s="129"/>
      <c r="H387" s="91" t="str">
        <f t="shared" si="55"/>
        <v/>
      </c>
      <c r="I387" s="91" t="str">
        <f t="shared" si="56"/>
        <v/>
      </c>
      <c r="J387" s="128"/>
      <c r="K387" s="128"/>
      <c r="L387" s="128"/>
      <c r="M387" s="95"/>
      <c r="O387" s="86" t="str">
        <f t="shared" si="57"/>
        <v/>
      </c>
      <c r="P387" s="86" t="str">
        <f t="shared" si="58"/>
        <v/>
      </c>
      <c r="Q387" s="86" t="str">
        <f t="shared" si="59"/>
        <v/>
      </c>
      <c r="R387" s="86" t="str">
        <f t="shared" si="60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61"/>
        <v/>
      </c>
      <c r="E388" s="96"/>
      <c r="F388" s="91" t="str">
        <f t="shared" ref="F388:F451" si="62">IFERROR(VLOOKUP(E388,$V$5:$X$129,2,FALSE),"")</f>
        <v/>
      </c>
      <c r="G388" s="129"/>
      <c r="H388" s="91" t="str">
        <f t="shared" ref="H388:H451" si="63">IFERROR(VLOOKUP(G388,$AB$6:$AC$327,2,FALSE),"")</f>
        <v/>
      </c>
      <c r="I388" s="91" t="str">
        <f t="shared" ref="I388:I451" si="64">IFERROR(VLOOKUP(G388,$AB$6:$AF$327,3,FALSE),"")</f>
        <v/>
      </c>
      <c r="J388" s="128"/>
      <c r="K388" s="128"/>
      <c r="L388" s="128"/>
      <c r="M388" s="95"/>
      <c r="O388" s="86" t="str">
        <f t="shared" ref="O388:O451" si="65">LEFT(E388,3)</f>
        <v/>
      </c>
      <c r="P388" s="86" t="str">
        <f t="shared" ref="P388:P451" si="66">LEFT(E388,2)</f>
        <v/>
      </c>
      <c r="Q388" s="86" t="str">
        <f t="shared" ref="Q388:Q451" si="67">LEFT(C388,3)</f>
        <v/>
      </c>
      <c r="R388" s="86" t="str">
        <f t="shared" ref="R388:R451" si="68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61"/>
        <v/>
      </c>
      <c r="E389" s="96"/>
      <c r="F389" s="91" t="str">
        <f t="shared" si="62"/>
        <v/>
      </c>
      <c r="G389" s="129"/>
      <c r="H389" s="91" t="str">
        <f t="shared" si="63"/>
        <v/>
      </c>
      <c r="I389" s="91" t="str">
        <f t="shared" si="64"/>
        <v/>
      </c>
      <c r="J389" s="128"/>
      <c r="K389" s="128"/>
      <c r="L389" s="128"/>
      <c r="M389" s="95"/>
      <c r="O389" s="86" t="str">
        <f t="shared" si="65"/>
        <v/>
      </c>
      <c r="P389" s="86" t="str">
        <f t="shared" si="66"/>
        <v/>
      </c>
      <c r="Q389" s="86" t="str">
        <f t="shared" si="67"/>
        <v/>
      </c>
      <c r="R389" s="86" t="str">
        <f t="shared" si="68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61"/>
        <v/>
      </c>
      <c r="E390" s="96"/>
      <c r="F390" s="91" t="str">
        <f t="shared" si="62"/>
        <v/>
      </c>
      <c r="G390" s="129"/>
      <c r="H390" s="91" t="str">
        <f t="shared" si="63"/>
        <v/>
      </c>
      <c r="I390" s="91" t="str">
        <f t="shared" si="64"/>
        <v/>
      </c>
      <c r="J390" s="128"/>
      <c r="K390" s="128"/>
      <c r="L390" s="128"/>
      <c r="M390" s="95"/>
      <c r="O390" s="86" t="str">
        <f t="shared" si="65"/>
        <v/>
      </c>
      <c r="P390" s="86" t="str">
        <f t="shared" si="66"/>
        <v/>
      </c>
      <c r="Q390" s="86" t="str">
        <f t="shared" si="67"/>
        <v/>
      </c>
      <c r="R390" s="86" t="str">
        <f t="shared" si="68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61"/>
        <v/>
      </c>
      <c r="E391" s="96"/>
      <c r="F391" s="91" t="str">
        <f t="shared" si="62"/>
        <v/>
      </c>
      <c r="G391" s="129"/>
      <c r="H391" s="91" t="str">
        <f t="shared" si="63"/>
        <v/>
      </c>
      <c r="I391" s="91" t="str">
        <f t="shared" si="64"/>
        <v/>
      </c>
      <c r="J391" s="128"/>
      <c r="K391" s="128"/>
      <c r="L391" s="128"/>
      <c r="M391" s="95"/>
      <c r="O391" s="86" t="str">
        <f t="shared" si="65"/>
        <v/>
      </c>
      <c r="P391" s="86" t="str">
        <f t="shared" si="66"/>
        <v/>
      </c>
      <c r="Q391" s="86" t="str">
        <f t="shared" si="67"/>
        <v/>
      </c>
      <c r="R391" s="86" t="str">
        <f t="shared" si="68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61"/>
        <v/>
      </c>
      <c r="E392" s="96"/>
      <c r="F392" s="91" t="str">
        <f t="shared" si="62"/>
        <v/>
      </c>
      <c r="G392" s="129"/>
      <c r="H392" s="91" t="str">
        <f t="shared" si="63"/>
        <v/>
      </c>
      <c r="I392" s="91" t="str">
        <f t="shared" si="64"/>
        <v/>
      </c>
      <c r="J392" s="128"/>
      <c r="K392" s="128"/>
      <c r="L392" s="128"/>
      <c r="M392" s="95"/>
      <c r="O392" s="86" t="str">
        <f t="shared" si="65"/>
        <v/>
      </c>
      <c r="P392" s="86" t="str">
        <f t="shared" si="66"/>
        <v/>
      </c>
      <c r="Q392" s="86" t="str">
        <f t="shared" si="67"/>
        <v/>
      </c>
      <c r="R392" s="86" t="str">
        <f t="shared" si="68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61"/>
        <v/>
      </c>
      <c r="E393" s="96"/>
      <c r="F393" s="91" t="str">
        <f t="shared" si="62"/>
        <v/>
      </c>
      <c r="G393" s="129"/>
      <c r="H393" s="91" t="str">
        <f t="shared" si="63"/>
        <v/>
      </c>
      <c r="I393" s="91" t="str">
        <f t="shared" si="64"/>
        <v/>
      </c>
      <c r="J393" s="128"/>
      <c r="K393" s="128"/>
      <c r="L393" s="128"/>
      <c r="M393" s="95"/>
      <c r="O393" s="86" t="str">
        <f t="shared" si="65"/>
        <v/>
      </c>
      <c r="P393" s="86" t="str">
        <f t="shared" si="66"/>
        <v/>
      </c>
      <c r="Q393" s="86" t="str">
        <f t="shared" si="67"/>
        <v/>
      </c>
      <c r="R393" s="86" t="str">
        <f t="shared" si="68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61"/>
        <v/>
      </c>
      <c r="E394" s="96"/>
      <c r="F394" s="91" t="str">
        <f t="shared" si="62"/>
        <v/>
      </c>
      <c r="G394" s="129"/>
      <c r="H394" s="91" t="str">
        <f t="shared" si="63"/>
        <v/>
      </c>
      <c r="I394" s="91" t="str">
        <f t="shared" si="64"/>
        <v/>
      </c>
      <c r="J394" s="128"/>
      <c r="K394" s="128"/>
      <c r="L394" s="128"/>
      <c r="M394" s="95"/>
      <c r="O394" s="86" t="str">
        <f t="shared" si="65"/>
        <v/>
      </c>
      <c r="P394" s="86" t="str">
        <f t="shared" si="66"/>
        <v/>
      </c>
      <c r="Q394" s="86" t="str">
        <f t="shared" si="67"/>
        <v/>
      </c>
      <c r="R394" s="86" t="str">
        <f t="shared" si="68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61"/>
        <v/>
      </c>
      <c r="E395" s="96"/>
      <c r="F395" s="91" t="str">
        <f t="shared" si="62"/>
        <v/>
      </c>
      <c r="G395" s="129"/>
      <c r="H395" s="91" t="str">
        <f t="shared" si="63"/>
        <v/>
      </c>
      <c r="I395" s="91" t="str">
        <f t="shared" si="64"/>
        <v/>
      </c>
      <c r="J395" s="128"/>
      <c r="K395" s="128"/>
      <c r="L395" s="128"/>
      <c r="M395" s="95"/>
      <c r="O395" s="86" t="str">
        <f t="shared" si="65"/>
        <v/>
      </c>
      <c r="P395" s="86" t="str">
        <f t="shared" si="66"/>
        <v/>
      </c>
      <c r="Q395" s="86" t="str">
        <f t="shared" si="67"/>
        <v/>
      </c>
      <c r="R395" s="86" t="str">
        <f t="shared" si="68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61"/>
        <v/>
      </c>
      <c r="E396" s="96"/>
      <c r="F396" s="91" t="str">
        <f t="shared" si="62"/>
        <v/>
      </c>
      <c r="G396" s="129"/>
      <c r="H396" s="91" t="str">
        <f t="shared" si="63"/>
        <v/>
      </c>
      <c r="I396" s="91" t="str">
        <f t="shared" si="64"/>
        <v/>
      </c>
      <c r="J396" s="128"/>
      <c r="K396" s="128"/>
      <c r="L396" s="128"/>
      <c r="M396" s="95"/>
      <c r="O396" s="86" t="str">
        <f t="shared" si="65"/>
        <v/>
      </c>
      <c r="P396" s="86" t="str">
        <f t="shared" si="66"/>
        <v/>
      </c>
      <c r="Q396" s="86" t="str">
        <f t="shared" si="67"/>
        <v/>
      </c>
      <c r="R396" s="86" t="str">
        <f t="shared" si="68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61"/>
        <v/>
      </c>
      <c r="E397" s="96"/>
      <c r="F397" s="91" t="str">
        <f t="shared" si="62"/>
        <v/>
      </c>
      <c r="G397" s="129"/>
      <c r="H397" s="91" t="str">
        <f t="shared" si="63"/>
        <v/>
      </c>
      <c r="I397" s="91" t="str">
        <f t="shared" si="64"/>
        <v/>
      </c>
      <c r="J397" s="128"/>
      <c r="K397" s="128"/>
      <c r="L397" s="128"/>
      <c r="M397" s="95"/>
      <c r="O397" s="86" t="str">
        <f t="shared" si="65"/>
        <v/>
      </c>
      <c r="P397" s="86" t="str">
        <f t="shared" si="66"/>
        <v/>
      </c>
      <c r="Q397" s="86" t="str">
        <f t="shared" si="67"/>
        <v/>
      </c>
      <c r="R397" s="86" t="str">
        <f t="shared" si="68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61"/>
        <v/>
      </c>
      <c r="E398" s="96"/>
      <c r="F398" s="91" t="str">
        <f t="shared" si="62"/>
        <v/>
      </c>
      <c r="G398" s="129"/>
      <c r="H398" s="91" t="str">
        <f t="shared" si="63"/>
        <v/>
      </c>
      <c r="I398" s="91" t="str">
        <f t="shared" si="64"/>
        <v/>
      </c>
      <c r="J398" s="128"/>
      <c r="K398" s="128"/>
      <c r="L398" s="128"/>
      <c r="M398" s="95"/>
      <c r="O398" s="86" t="str">
        <f t="shared" si="65"/>
        <v/>
      </c>
      <c r="P398" s="86" t="str">
        <f t="shared" si="66"/>
        <v/>
      </c>
      <c r="Q398" s="86" t="str">
        <f t="shared" si="67"/>
        <v/>
      </c>
      <c r="R398" s="86" t="str">
        <f t="shared" si="68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61"/>
        <v/>
      </c>
      <c r="E399" s="96"/>
      <c r="F399" s="91" t="str">
        <f t="shared" si="62"/>
        <v/>
      </c>
      <c r="G399" s="129"/>
      <c r="H399" s="91" t="str">
        <f t="shared" si="63"/>
        <v/>
      </c>
      <c r="I399" s="91" t="str">
        <f t="shared" si="64"/>
        <v/>
      </c>
      <c r="J399" s="128"/>
      <c r="K399" s="128"/>
      <c r="L399" s="128"/>
      <c r="M399" s="95"/>
      <c r="O399" s="86" t="str">
        <f t="shared" si="65"/>
        <v/>
      </c>
      <c r="P399" s="86" t="str">
        <f t="shared" si="66"/>
        <v/>
      </c>
      <c r="Q399" s="86" t="str">
        <f t="shared" si="67"/>
        <v/>
      </c>
      <c r="R399" s="86" t="str">
        <f t="shared" si="68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61"/>
        <v/>
      </c>
      <c r="E400" s="96"/>
      <c r="F400" s="91" t="str">
        <f t="shared" si="62"/>
        <v/>
      </c>
      <c r="G400" s="129"/>
      <c r="H400" s="91" t="str">
        <f t="shared" si="63"/>
        <v/>
      </c>
      <c r="I400" s="91" t="str">
        <f t="shared" si="64"/>
        <v/>
      </c>
      <c r="J400" s="128"/>
      <c r="K400" s="128"/>
      <c r="L400" s="128"/>
      <c r="M400" s="95"/>
      <c r="O400" s="86" t="str">
        <f t="shared" si="65"/>
        <v/>
      </c>
      <c r="P400" s="86" t="str">
        <f t="shared" si="66"/>
        <v/>
      </c>
      <c r="Q400" s="86" t="str">
        <f t="shared" si="67"/>
        <v/>
      </c>
      <c r="R400" s="86" t="str">
        <f t="shared" si="68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61"/>
        <v/>
      </c>
      <c r="E401" s="96"/>
      <c r="F401" s="91" t="str">
        <f t="shared" si="62"/>
        <v/>
      </c>
      <c r="G401" s="129"/>
      <c r="H401" s="91" t="str">
        <f t="shared" si="63"/>
        <v/>
      </c>
      <c r="I401" s="91" t="str">
        <f t="shared" si="64"/>
        <v/>
      </c>
      <c r="J401" s="128"/>
      <c r="K401" s="128"/>
      <c r="L401" s="128"/>
      <c r="M401" s="95"/>
      <c r="O401" s="86" t="str">
        <f t="shared" si="65"/>
        <v/>
      </c>
      <c r="P401" s="86" t="str">
        <f t="shared" si="66"/>
        <v/>
      </c>
      <c r="Q401" s="86" t="str">
        <f t="shared" si="67"/>
        <v/>
      </c>
      <c r="R401" s="86" t="str">
        <f t="shared" si="68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61"/>
        <v/>
      </c>
      <c r="E402" s="96"/>
      <c r="F402" s="91" t="str">
        <f t="shared" si="62"/>
        <v/>
      </c>
      <c r="G402" s="129"/>
      <c r="H402" s="91" t="str">
        <f t="shared" si="63"/>
        <v/>
      </c>
      <c r="I402" s="91" t="str">
        <f t="shared" si="64"/>
        <v/>
      </c>
      <c r="J402" s="128"/>
      <c r="K402" s="128"/>
      <c r="L402" s="128"/>
      <c r="M402" s="95"/>
      <c r="O402" s="86" t="str">
        <f t="shared" si="65"/>
        <v/>
      </c>
      <c r="P402" s="86" t="str">
        <f t="shared" si="66"/>
        <v/>
      </c>
      <c r="Q402" s="86" t="str">
        <f t="shared" si="67"/>
        <v/>
      </c>
      <c r="R402" s="86" t="str">
        <f t="shared" si="68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61"/>
        <v/>
      </c>
      <c r="E403" s="96"/>
      <c r="F403" s="91" t="str">
        <f t="shared" si="62"/>
        <v/>
      </c>
      <c r="G403" s="129"/>
      <c r="H403" s="91" t="str">
        <f t="shared" si="63"/>
        <v/>
      </c>
      <c r="I403" s="91" t="str">
        <f t="shared" si="64"/>
        <v/>
      </c>
      <c r="J403" s="128"/>
      <c r="K403" s="128"/>
      <c r="L403" s="128"/>
      <c r="M403" s="95"/>
      <c r="O403" s="86" t="str">
        <f t="shared" si="65"/>
        <v/>
      </c>
      <c r="P403" s="86" t="str">
        <f t="shared" si="66"/>
        <v/>
      </c>
      <c r="Q403" s="86" t="str">
        <f t="shared" si="67"/>
        <v/>
      </c>
      <c r="R403" s="86" t="str">
        <f t="shared" si="68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61"/>
        <v/>
      </c>
      <c r="E404" s="96"/>
      <c r="F404" s="91" t="str">
        <f t="shared" si="62"/>
        <v/>
      </c>
      <c r="G404" s="129"/>
      <c r="H404" s="91" t="str">
        <f t="shared" si="63"/>
        <v/>
      </c>
      <c r="I404" s="91" t="str">
        <f t="shared" si="64"/>
        <v/>
      </c>
      <c r="J404" s="128"/>
      <c r="K404" s="128"/>
      <c r="L404" s="128"/>
      <c r="M404" s="95"/>
      <c r="O404" s="86" t="str">
        <f t="shared" si="65"/>
        <v/>
      </c>
      <c r="P404" s="86" t="str">
        <f t="shared" si="66"/>
        <v/>
      </c>
      <c r="Q404" s="86" t="str">
        <f t="shared" si="67"/>
        <v/>
      </c>
      <c r="R404" s="86" t="str">
        <f t="shared" si="68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61"/>
        <v/>
      </c>
      <c r="E405" s="96"/>
      <c r="F405" s="91" t="str">
        <f t="shared" si="62"/>
        <v/>
      </c>
      <c r="G405" s="129"/>
      <c r="H405" s="91" t="str">
        <f t="shared" si="63"/>
        <v/>
      </c>
      <c r="I405" s="91" t="str">
        <f t="shared" si="64"/>
        <v/>
      </c>
      <c r="J405" s="128"/>
      <c r="K405" s="128"/>
      <c r="L405" s="128"/>
      <c r="M405" s="95"/>
      <c r="O405" s="86" t="str">
        <f t="shared" si="65"/>
        <v/>
      </c>
      <c r="P405" s="86" t="str">
        <f t="shared" si="66"/>
        <v/>
      </c>
      <c r="Q405" s="86" t="str">
        <f t="shared" si="67"/>
        <v/>
      </c>
      <c r="R405" s="86" t="str">
        <f t="shared" si="68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61"/>
        <v/>
      </c>
      <c r="E406" s="96"/>
      <c r="F406" s="91" t="str">
        <f t="shared" si="62"/>
        <v/>
      </c>
      <c r="G406" s="129"/>
      <c r="H406" s="91" t="str">
        <f t="shared" si="63"/>
        <v/>
      </c>
      <c r="I406" s="91" t="str">
        <f t="shared" si="64"/>
        <v/>
      </c>
      <c r="J406" s="128"/>
      <c r="K406" s="128"/>
      <c r="L406" s="128"/>
      <c r="M406" s="95"/>
      <c r="O406" s="86" t="str">
        <f t="shared" si="65"/>
        <v/>
      </c>
      <c r="P406" s="86" t="str">
        <f t="shared" si="66"/>
        <v/>
      </c>
      <c r="Q406" s="86" t="str">
        <f t="shared" si="67"/>
        <v/>
      </c>
      <c r="R406" s="86" t="str">
        <f t="shared" si="68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61"/>
        <v/>
      </c>
      <c r="E407" s="96"/>
      <c r="F407" s="91" t="str">
        <f t="shared" si="62"/>
        <v/>
      </c>
      <c r="G407" s="129"/>
      <c r="H407" s="91" t="str">
        <f t="shared" si="63"/>
        <v/>
      </c>
      <c r="I407" s="91" t="str">
        <f t="shared" si="64"/>
        <v/>
      </c>
      <c r="J407" s="128"/>
      <c r="K407" s="128"/>
      <c r="L407" s="128"/>
      <c r="M407" s="95"/>
      <c r="O407" s="86" t="str">
        <f t="shared" si="65"/>
        <v/>
      </c>
      <c r="P407" s="86" t="str">
        <f t="shared" si="66"/>
        <v/>
      </c>
      <c r="Q407" s="86" t="str">
        <f t="shared" si="67"/>
        <v/>
      </c>
      <c r="R407" s="86" t="str">
        <f t="shared" si="68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61"/>
        <v/>
      </c>
      <c r="E408" s="96"/>
      <c r="F408" s="91" t="str">
        <f t="shared" si="62"/>
        <v/>
      </c>
      <c r="G408" s="129"/>
      <c r="H408" s="91" t="str">
        <f t="shared" si="63"/>
        <v/>
      </c>
      <c r="I408" s="91" t="str">
        <f t="shared" si="64"/>
        <v/>
      </c>
      <c r="J408" s="128"/>
      <c r="K408" s="128"/>
      <c r="L408" s="128"/>
      <c r="M408" s="95"/>
      <c r="O408" s="86" t="str">
        <f t="shared" si="65"/>
        <v/>
      </c>
      <c r="P408" s="86" t="str">
        <f t="shared" si="66"/>
        <v/>
      </c>
      <c r="Q408" s="86" t="str">
        <f t="shared" si="67"/>
        <v/>
      </c>
      <c r="R408" s="86" t="str">
        <f t="shared" si="68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61"/>
        <v/>
      </c>
      <c r="E409" s="96"/>
      <c r="F409" s="91" t="str">
        <f t="shared" si="62"/>
        <v/>
      </c>
      <c r="G409" s="129"/>
      <c r="H409" s="91" t="str">
        <f t="shared" si="63"/>
        <v/>
      </c>
      <c r="I409" s="91" t="str">
        <f t="shared" si="64"/>
        <v/>
      </c>
      <c r="J409" s="128"/>
      <c r="K409" s="128"/>
      <c r="L409" s="128"/>
      <c r="M409" s="95"/>
      <c r="O409" s="86" t="str">
        <f t="shared" si="65"/>
        <v/>
      </c>
      <c r="P409" s="86" t="str">
        <f t="shared" si="66"/>
        <v/>
      </c>
      <c r="Q409" s="86" t="str">
        <f t="shared" si="67"/>
        <v/>
      </c>
      <c r="R409" s="86" t="str">
        <f t="shared" si="68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61"/>
        <v/>
      </c>
      <c r="E410" s="96"/>
      <c r="F410" s="91" t="str">
        <f t="shared" si="62"/>
        <v/>
      </c>
      <c r="G410" s="129"/>
      <c r="H410" s="91" t="str">
        <f t="shared" si="63"/>
        <v/>
      </c>
      <c r="I410" s="91" t="str">
        <f t="shared" si="64"/>
        <v/>
      </c>
      <c r="J410" s="128"/>
      <c r="K410" s="128"/>
      <c r="L410" s="128"/>
      <c r="M410" s="95"/>
      <c r="O410" s="86" t="str">
        <f t="shared" si="65"/>
        <v/>
      </c>
      <c r="P410" s="86" t="str">
        <f t="shared" si="66"/>
        <v/>
      </c>
      <c r="Q410" s="86" t="str">
        <f t="shared" si="67"/>
        <v/>
      </c>
      <c r="R410" s="86" t="str">
        <f t="shared" si="68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61"/>
        <v/>
      </c>
      <c r="E411" s="96"/>
      <c r="F411" s="91" t="str">
        <f t="shared" si="62"/>
        <v/>
      </c>
      <c r="G411" s="129"/>
      <c r="H411" s="91" t="str">
        <f t="shared" si="63"/>
        <v/>
      </c>
      <c r="I411" s="91" t="str">
        <f t="shared" si="64"/>
        <v/>
      </c>
      <c r="J411" s="128"/>
      <c r="K411" s="128"/>
      <c r="L411" s="128"/>
      <c r="M411" s="95"/>
      <c r="O411" s="86" t="str">
        <f t="shared" si="65"/>
        <v/>
      </c>
      <c r="P411" s="86" t="str">
        <f t="shared" si="66"/>
        <v/>
      </c>
      <c r="Q411" s="86" t="str">
        <f t="shared" si="67"/>
        <v/>
      </c>
      <c r="R411" s="86" t="str">
        <f t="shared" si="68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61"/>
        <v/>
      </c>
      <c r="E412" s="96"/>
      <c r="F412" s="91" t="str">
        <f t="shared" si="62"/>
        <v/>
      </c>
      <c r="G412" s="129"/>
      <c r="H412" s="91" t="str">
        <f t="shared" si="63"/>
        <v/>
      </c>
      <c r="I412" s="91" t="str">
        <f t="shared" si="64"/>
        <v/>
      </c>
      <c r="J412" s="128"/>
      <c r="K412" s="128"/>
      <c r="L412" s="128"/>
      <c r="M412" s="95"/>
      <c r="O412" s="86" t="str">
        <f t="shared" si="65"/>
        <v/>
      </c>
      <c r="P412" s="86" t="str">
        <f t="shared" si="66"/>
        <v/>
      </c>
      <c r="Q412" s="86" t="str">
        <f t="shared" si="67"/>
        <v/>
      </c>
      <c r="R412" s="86" t="str">
        <f t="shared" si="68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61"/>
        <v/>
      </c>
      <c r="E413" s="96"/>
      <c r="F413" s="91" t="str">
        <f t="shared" si="62"/>
        <v/>
      </c>
      <c r="G413" s="129"/>
      <c r="H413" s="91" t="str">
        <f t="shared" si="63"/>
        <v/>
      </c>
      <c r="I413" s="91" t="str">
        <f t="shared" si="64"/>
        <v/>
      </c>
      <c r="J413" s="128"/>
      <c r="K413" s="128"/>
      <c r="L413" s="128"/>
      <c r="M413" s="95"/>
      <c r="O413" s="86" t="str">
        <f t="shared" si="65"/>
        <v/>
      </c>
      <c r="P413" s="86" t="str">
        <f t="shared" si="66"/>
        <v/>
      </c>
      <c r="Q413" s="86" t="str">
        <f t="shared" si="67"/>
        <v/>
      </c>
      <c r="R413" s="86" t="str">
        <f t="shared" si="68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61"/>
        <v/>
      </c>
      <c r="E414" s="96"/>
      <c r="F414" s="91" t="str">
        <f t="shared" si="62"/>
        <v/>
      </c>
      <c r="G414" s="129"/>
      <c r="H414" s="91" t="str">
        <f t="shared" si="63"/>
        <v/>
      </c>
      <c r="I414" s="91" t="str">
        <f t="shared" si="64"/>
        <v/>
      </c>
      <c r="J414" s="128"/>
      <c r="K414" s="128"/>
      <c r="L414" s="128"/>
      <c r="M414" s="95"/>
      <c r="O414" s="86" t="str">
        <f t="shared" si="65"/>
        <v/>
      </c>
      <c r="P414" s="86" t="str">
        <f t="shared" si="66"/>
        <v/>
      </c>
      <c r="Q414" s="86" t="str">
        <f t="shared" si="67"/>
        <v/>
      </c>
      <c r="R414" s="86" t="str">
        <f t="shared" si="68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61"/>
        <v/>
      </c>
      <c r="E415" s="96"/>
      <c r="F415" s="91" t="str">
        <f t="shared" si="62"/>
        <v/>
      </c>
      <c r="G415" s="129"/>
      <c r="H415" s="91" t="str">
        <f t="shared" si="63"/>
        <v/>
      </c>
      <c r="I415" s="91" t="str">
        <f t="shared" si="64"/>
        <v/>
      </c>
      <c r="J415" s="128"/>
      <c r="K415" s="128"/>
      <c r="L415" s="128"/>
      <c r="M415" s="95"/>
      <c r="O415" s="86" t="str">
        <f t="shared" si="65"/>
        <v/>
      </c>
      <c r="P415" s="86" t="str">
        <f t="shared" si="66"/>
        <v/>
      </c>
      <c r="Q415" s="86" t="str">
        <f t="shared" si="67"/>
        <v/>
      </c>
      <c r="R415" s="86" t="str">
        <f t="shared" si="68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61"/>
        <v/>
      </c>
      <c r="E416" s="96"/>
      <c r="F416" s="91" t="str">
        <f t="shared" si="62"/>
        <v/>
      </c>
      <c r="G416" s="129"/>
      <c r="H416" s="91" t="str">
        <f t="shared" si="63"/>
        <v/>
      </c>
      <c r="I416" s="91" t="str">
        <f t="shared" si="64"/>
        <v/>
      </c>
      <c r="J416" s="128"/>
      <c r="K416" s="128"/>
      <c r="L416" s="128"/>
      <c r="M416" s="95"/>
      <c r="O416" s="86" t="str">
        <f t="shared" si="65"/>
        <v/>
      </c>
      <c r="P416" s="86" t="str">
        <f t="shared" si="66"/>
        <v/>
      </c>
      <c r="Q416" s="86" t="str">
        <f t="shared" si="67"/>
        <v/>
      </c>
      <c r="R416" s="86" t="str">
        <f t="shared" si="68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61"/>
        <v/>
      </c>
      <c r="E417" s="96"/>
      <c r="F417" s="91" t="str">
        <f t="shared" si="62"/>
        <v/>
      </c>
      <c r="G417" s="129"/>
      <c r="H417" s="91" t="str">
        <f t="shared" si="63"/>
        <v/>
      </c>
      <c r="I417" s="91" t="str">
        <f t="shared" si="64"/>
        <v/>
      </c>
      <c r="J417" s="128"/>
      <c r="K417" s="128"/>
      <c r="L417" s="128"/>
      <c r="M417" s="95"/>
      <c r="O417" s="86" t="str">
        <f t="shared" si="65"/>
        <v/>
      </c>
      <c r="P417" s="86" t="str">
        <f t="shared" si="66"/>
        <v/>
      </c>
      <c r="Q417" s="86" t="str">
        <f t="shared" si="67"/>
        <v/>
      </c>
      <c r="R417" s="86" t="str">
        <f t="shared" si="68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61"/>
        <v/>
      </c>
      <c r="E418" s="96"/>
      <c r="F418" s="91" t="str">
        <f t="shared" si="62"/>
        <v/>
      </c>
      <c r="G418" s="129"/>
      <c r="H418" s="91" t="str">
        <f t="shared" si="63"/>
        <v/>
      </c>
      <c r="I418" s="91" t="str">
        <f t="shared" si="64"/>
        <v/>
      </c>
      <c r="J418" s="128"/>
      <c r="K418" s="128"/>
      <c r="L418" s="128"/>
      <c r="M418" s="95"/>
      <c r="O418" s="86" t="str">
        <f t="shared" si="65"/>
        <v/>
      </c>
      <c r="P418" s="86" t="str">
        <f t="shared" si="66"/>
        <v/>
      </c>
      <c r="Q418" s="86" t="str">
        <f t="shared" si="67"/>
        <v/>
      </c>
      <c r="R418" s="86" t="str">
        <f t="shared" si="68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61"/>
        <v/>
      </c>
      <c r="E419" s="96"/>
      <c r="F419" s="91" t="str">
        <f t="shared" si="62"/>
        <v/>
      </c>
      <c r="G419" s="129"/>
      <c r="H419" s="91" t="str">
        <f t="shared" si="63"/>
        <v/>
      </c>
      <c r="I419" s="91" t="str">
        <f t="shared" si="64"/>
        <v/>
      </c>
      <c r="J419" s="128"/>
      <c r="K419" s="128"/>
      <c r="L419" s="128"/>
      <c r="M419" s="95"/>
      <c r="O419" s="86" t="str">
        <f t="shared" si="65"/>
        <v/>
      </c>
      <c r="P419" s="86" t="str">
        <f t="shared" si="66"/>
        <v/>
      </c>
      <c r="Q419" s="86" t="str">
        <f t="shared" si="67"/>
        <v/>
      </c>
      <c r="R419" s="86" t="str">
        <f t="shared" si="68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61"/>
        <v/>
      </c>
      <c r="E420" s="96"/>
      <c r="F420" s="91" t="str">
        <f t="shared" si="62"/>
        <v/>
      </c>
      <c r="G420" s="129"/>
      <c r="H420" s="91" t="str">
        <f t="shared" si="63"/>
        <v/>
      </c>
      <c r="I420" s="91" t="str">
        <f t="shared" si="64"/>
        <v/>
      </c>
      <c r="J420" s="128"/>
      <c r="K420" s="128"/>
      <c r="L420" s="128"/>
      <c r="M420" s="95"/>
      <c r="O420" s="86" t="str">
        <f t="shared" si="65"/>
        <v/>
      </c>
      <c r="P420" s="86" t="str">
        <f t="shared" si="66"/>
        <v/>
      </c>
      <c r="Q420" s="86" t="str">
        <f t="shared" si="67"/>
        <v/>
      </c>
      <c r="R420" s="86" t="str">
        <f t="shared" si="68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61"/>
        <v/>
      </c>
      <c r="E421" s="96"/>
      <c r="F421" s="91" t="str">
        <f t="shared" si="62"/>
        <v/>
      </c>
      <c r="G421" s="129"/>
      <c r="H421" s="91" t="str">
        <f t="shared" si="63"/>
        <v/>
      </c>
      <c r="I421" s="91" t="str">
        <f t="shared" si="64"/>
        <v/>
      </c>
      <c r="J421" s="128"/>
      <c r="K421" s="128"/>
      <c r="L421" s="128"/>
      <c r="M421" s="95"/>
      <c r="O421" s="86" t="str">
        <f t="shared" si="65"/>
        <v/>
      </c>
      <c r="P421" s="86" t="str">
        <f t="shared" si="66"/>
        <v/>
      </c>
      <c r="Q421" s="86" t="str">
        <f t="shared" si="67"/>
        <v/>
      </c>
      <c r="R421" s="86" t="str">
        <f t="shared" si="68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61"/>
        <v/>
      </c>
      <c r="E422" s="96"/>
      <c r="F422" s="91" t="str">
        <f t="shared" si="62"/>
        <v/>
      </c>
      <c r="G422" s="129"/>
      <c r="H422" s="91" t="str">
        <f t="shared" si="63"/>
        <v/>
      </c>
      <c r="I422" s="91" t="str">
        <f t="shared" si="64"/>
        <v/>
      </c>
      <c r="J422" s="128"/>
      <c r="K422" s="128"/>
      <c r="L422" s="128"/>
      <c r="M422" s="95"/>
      <c r="O422" s="86" t="str">
        <f t="shared" si="65"/>
        <v/>
      </c>
      <c r="P422" s="86" t="str">
        <f t="shared" si="66"/>
        <v/>
      </c>
      <c r="Q422" s="86" t="str">
        <f t="shared" si="67"/>
        <v/>
      </c>
      <c r="R422" s="86" t="str">
        <f t="shared" si="68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61"/>
        <v/>
      </c>
      <c r="E423" s="96"/>
      <c r="F423" s="91" t="str">
        <f t="shared" si="62"/>
        <v/>
      </c>
      <c r="G423" s="129"/>
      <c r="H423" s="91" t="str">
        <f t="shared" si="63"/>
        <v/>
      </c>
      <c r="I423" s="91" t="str">
        <f t="shared" si="64"/>
        <v/>
      </c>
      <c r="J423" s="128"/>
      <c r="K423" s="128"/>
      <c r="L423" s="128"/>
      <c r="M423" s="95"/>
      <c r="O423" s="86" t="str">
        <f t="shared" si="65"/>
        <v/>
      </c>
      <c r="P423" s="86" t="str">
        <f t="shared" si="66"/>
        <v/>
      </c>
      <c r="Q423" s="86" t="str">
        <f t="shared" si="67"/>
        <v/>
      </c>
      <c r="R423" s="86" t="str">
        <f t="shared" si="68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61"/>
        <v/>
      </c>
      <c r="E424" s="96"/>
      <c r="F424" s="91" t="str">
        <f t="shared" si="62"/>
        <v/>
      </c>
      <c r="G424" s="129"/>
      <c r="H424" s="91" t="str">
        <f t="shared" si="63"/>
        <v/>
      </c>
      <c r="I424" s="91" t="str">
        <f t="shared" si="64"/>
        <v/>
      </c>
      <c r="J424" s="128"/>
      <c r="K424" s="128"/>
      <c r="L424" s="128"/>
      <c r="M424" s="95"/>
      <c r="O424" s="86" t="str">
        <f t="shared" si="65"/>
        <v/>
      </c>
      <c r="P424" s="86" t="str">
        <f t="shared" si="66"/>
        <v/>
      </c>
      <c r="Q424" s="86" t="str">
        <f t="shared" si="67"/>
        <v/>
      </c>
      <c r="R424" s="86" t="str">
        <f t="shared" si="68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61"/>
        <v/>
      </c>
      <c r="E425" s="96"/>
      <c r="F425" s="91" t="str">
        <f t="shared" si="62"/>
        <v/>
      </c>
      <c r="G425" s="129"/>
      <c r="H425" s="91" t="str">
        <f t="shared" si="63"/>
        <v/>
      </c>
      <c r="I425" s="91" t="str">
        <f t="shared" si="64"/>
        <v/>
      </c>
      <c r="J425" s="128"/>
      <c r="K425" s="128"/>
      <c r="L425" s="128"/>
      <c r="M425" s="95"/>
      <c r="O425" s="86" t="str">
        <f t="shared" si="65"/>
        <v/>
      </c>
      <c r="P425" s="86" t="str">
        <f t="shared" si="66"/>
        <v/>
      </c>
      <c r="Q425" s="86" t="str">
        <f t="shared" si="67"/>
        <v/>
      </c>
      <c r="R425" s="86" t="str">
        <f t="shared" si="68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61"/>
        <v/>
      </c>
      <c r="E426" s="96"/>
      <c r="F426" s="91" t="str">
        <f t="shared" si="62"/>
        <v/>
      </c>
      <c r="G426" s="129"/>
      <c r="H426" s="91" t="str">
        <f t="shared" si="63"/>
        <v/>
      </c>
      <c r="I426" s="91" t="str">
        <f t="shared" si="64"/>
        <v/>
      </c>
      <c r="J426" s="128"/>
      <c r="K426" s="128"/>
      <c r="L426" s="128"/>
      <c r="M426" s="95"/>
      <c r="O426" s="86" t="str">
        <f t="shared" si="65"/>
        <v/>
      </c>
      <c r="P426" s="86" t="str">
        <f t="shared" si="66"/>
        <v/>
      </c>
      <c r="Q426" s="86" t="str">
        <f t="shared" si="67"/>
        <v/>
      </c>
      <c r="R426" s="86" t="str">
        <f t="shared" si="68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61"/>
        <v/>
      </c>
      <c r="E427" s="96"/>
      <c r="F427" s="91" t="str">
        <f t="shared" si="62"/>
        <v/>
      </c>
      <c r="G427" s="129"/>
      <c r="H427" s="91" t="str">
        <f t="shared" si="63"/>
        <v/>
      </c>
      <c r="I427" s="91" t="str">
        <f t="shared" si="64"/>
        <v/>
      </c>
      <c r="J427" s="128"/>
      <c r="K427" s="128"/>
      <c r="L427" s="128"/>
      <c r="M427" s="95"/>
      <c r="O427" s="86" t="str">
        <f t="shared" si="65"/>
        <v/>
      </c>
      <c r="P427" s="86" t="str">
        <f t="shared" si="66"/>
        <v/>
      </c>
      <c r="Q427" s="86" t="str">
        <f t="shared" si="67"/>
        <v/>
      </c>
      <c r="R427" s="86" t="str">
        <f t="shared" si="68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61"/>
        <v/>
      </c>
      <c r="E428" s="96"/>
      <c r="F428" s="91" t="str">
        <f t="shared" si="62"/>
        <v/>
      </c>
      <c r="G428" s="129"/>
      <c r="H428" s="91" t="str">
        <f t="shared" si="63"/>
        <v/>
      </c>
      <c r="I428" s="91" t="str">
        <f t="shared" si="64"/>
        <v/>
      </c>
      <c r="J428" s="128"/>
      <c r="K428" s="128"/>
      <c r="L428" s="128"/>
      <c r="M428" s="95"/>
      <c r="O428" s="86" t="str">
        <f t="shared" si="65"/>
        <v/>
      </c>
      <c r="P428" s="86" t="str">
        <f t="shared" si="66"/>
        <v/>
      </c>
      <c r="Q428" s="86" t="str">
        <f t="shared" si="67"/>
        <v/>
      </c>
      <c r="R428" s="86" t="str">
        <f t="shared" si="68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61"/>
        <v/>
      </c>
      <c r="E429" s="96"/>
      <c r="F429" s="91" t="str">
        <f t="shared" si="62"/>
        <v/>
      </c>
      <c r="G429" s="129"/>
      <c r="H429" s="91" t="str">
        <f t="shared" si="63"/>
        <v/>
      </c>
      <c r="I429" s="91" t="str">
        <f t="shared" si="64"/>
        <v/>
      </c>
      <c r="J429" s="128"/>
      <c r="K429" s="128"/>
      <c r="L429" s="128"/>
      <c r="M429" s="95"/>
      <c r="O429" s="86" t="str">
        <f t="shared" si="65"/>
        <v/>
      </c>
      <c r="P429" s="86" t="str">
        <f t="shared" si="66"/>
        <v/>
      </c>
      <c r="Q429" s="86" t="str">
        <f t="shared" si="67"/>
        <v/>
      </c>
      <c r="R429" s="86" t="str">
        <f t="shared" si="68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61"/>
        <v/>
      </c>
      <c r="E430" s="96"/>
      <c r="F430" s="91" t="str">
        <f t="shared" si="62"/>
        <v/>
      </c>
      <c r="G430" s="129"/>
      <c r="H430" s="91" t="str">
        <f t="shared" si="63"/>
        <v/>
      </c>
      <c r="I430" s="91" t="str">
        <f t="shared" si="64"/>
        <v/>
      </c>
      <c r="J430" s="128"/>
      <c r="K430" s="128"/>
      <c r="L430" s="128"/>
      <c r="M430" s="95"/>
      <c r="O430" s="86" t="str">
        <f t="shared" si="65"/>
        <v/>
      </c>
      <c r="P430" s="86" t="str">
        <f t="shared" si="66"/>
        <v/>
      </c>
      <c r="Q430" s="86" t="str">
        <f t="shared" si="67"/>
        <v/>
      </c>
      <c r="R430" s="86" t="str">
        <f t="shared" si="68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61"/>
        <v/>
      </c>
      <c r="E431" s="96"/>
      <c r="F431" s="91" t="str">
        <f t="shared" si="62"/>
        <v/>
      </c>
      <c r="G431" s="129"/>
      <c r="H431" s="91" t="str">
        <f t="shared" si="63"/>
        <v/>
      </c>
      <c r="I431" s="91" t="str">
        <f t="shared" si="64"/>
        <v/>
      </c>
      <c r="J431" s="128"/>
      <c r="K431" s="128"/>
      <c r="L431" s="128"/>
      <c r="M431" s="95"/>
      <c r="O431" s="86" t="str">
        <f t="shared" si="65"/>
        <v/>
      </c>
      <c r="P431" s="86" t="str">
        <f t="shared" si="66"/>
        <v/>
      </c>
      <c r="Q431" s="86" t="str">
        <f t="shared" si="67"/>
        <v/>
      </c>
      <c r="R431" s="86" t="str">
        <f t="shared" si="68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61"/>
        <v/>
      </c>
      <c r="E432" s="96"/>
      <c r="F432" s="91" t="str">
        <f t="shared" si="62"/>
        <v/>
      </c>
      <c r="G432" s="129"/>
      <c r="H432" s="91" t="str">
        <f t="shared" si="63"/>
        <v/>
      </c>
      <c r="I432" s="91" t="str">
        <f t="shared" si="64"/>
        <v/>
      </c>
      <c r="J432" s="128"/>
      <c r="K432" s="128"/>
      <c r="L432" s="128"/>
      <c r="M432" s="95"/>
      <c r="O432" s="86" t="str">
        <f t="shared" si="65"/>
        <v/>
      </c>
      <c r="P432" s="86" t="str">
        <f t="shared" si="66"/>
        <v/>
      </c>
      <c r="Q432" s="86" t="str">
        <f t="shared" si="67"/>
        <v/>
      </c>
      <c r="R432" s="86" t="str">
        <f t="shared" si="68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61"/>
        <v/>
      </c>
      <c r="E433" s="96"/>
      <c r="F433" s="91" t="str">
        <f t="shared" si="62"/>
        <v/>
      </c>
      <c r="G433" s="129"/>
      <c r="H433" s="91" t="str">
        <f t="shared" si="63"/>
        <v/>
      </c>
      <c r="I433" s="91" t="str">
        <f t="shared" si="64"/>
        <v/>
      </c>
      <c r="J433" s="128"/>
      <c r="K433" s="128"/>
      <c r="L433" s="128"/>
      <c r="M433" s="95"/>
      <c r="O433" s="86" t="str">
        <f t="shared" si="65"/>
        <v/>
      </c>
      <c r="P433" s="86" t="str">
        <f t="shared" si="66"/>
        <v/>
      </c>
      <c r="Q433" s="86" t="str">
        <f t="shared" si="67"/>
        <v/>
      </c>
      <c r="R433" s="86" t="str">
        <f t="shared" si="68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61"/>
        <v/>
      </c>
      <c r="E434" s="96"/>
      <c r="F434" s="91" t="str">
        <f t="shared" si="62"/>
        <v/>
      </c>
      <c r="G434" s="129"/>
      <c r="H434" s="91" t="str">
        <f t="shared" si="63"/>
        <v/>
      </c>
      <c r="I434" s="91" t="str">
        <f t="shared" si="64"/>
        <v/>
      </c>
      <c r="J434" s="128"/>
      <c r="K434" s="128"/>
      <c r="L434" s="128"/>
      <c r="M434" s="95"/>
      <c r="O434" s="86" t="str">
        <f t="shared" si="65"/>
        <v/>
      </c>
      <c r="P434" s="86" t="str">
        <f t="shared" si="66"/>
        <v/>
      </c>
      <c r="Q434" s="86" t="str">
        <f t="shared" si="67"/>
        <v/>
      </c>
      <c r="R434" s="86" t="str">
        <f t="shared" si="68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61"/>
        <v/>
      </c>
      <c r="E435" s="96"/>
      <c r="F435" s="91" t="str">
        <f t="shared" si="62"/>
        <v/>
      </c>
      <c r="G435" s="129"/>
      <c r="H435" s="91" t="str">
        <f t="shared" si="63"/>
        <v/>
      </c>
      <c r="I435" s="91" t="str">
        <f t="shared" si="64"/>
        <v/>
      </c>
      <c r="J435" s="128"/>
      <c r="K435" s="128"/>
      <c r="L435" s="128"/>
      <c r="M435" s="95"/>
      <c r="O435" s="86" t="str">
        <f t="shared" si="65"/>
        <v/>
      </c>
      <c r="P435" s="86" t="str">
        <f t="shared" si="66"/>
        <v/>
      </c>
      <c r="Q435" s="86" t="str">
        <f t="shared" si="67"/>
        <v/>
      </c>
      <c r="R435" s="86" t="str">
        <f t="shared" si="68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61"/>
        <v/>
      </c>
      <c r="E436" s="96"/>
      <c r="F436" s="91" t="str">
        <f t="shared" si="62"/>
        <v/>
      </c>
      <c r="G436" s="129"/>
      <c r="H436" s="91" t="str">
        <f t="shared" si="63"/>
        <v/>
      </c>
      <c r="I436" s="91" t="str">
        <f t="shared" si="64"/>
        <v/>
      </c>
      <c r="J436" s="128"/>
      <c r="K436" s="128"/>
      <c r="L436" s="128"/>
      <c r="M436" s="95"/>
      <c r="O436" s="86" t="str">
        <f t="shared" si="65"/>
        <v/>
      </c>
      <c r="P436" s="86" t="str">
        <f t="shared" si="66"/>
        <v/>
      </c>
      <c r="Q436" s="86" t="str">
        <f t="shared" si="67"/>
        <v/>
      </c>
      <c r="R436" s="86" t="str">
        <f t="shared" si="68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61"/>
        <v/>
      </c>
      <c r="E437" s="96"/>
      <c r="F437" s="91" t="str">
        <f t="shared" si="62"/>
        <v/>
      </c>
      <c r="G437" s="129"/>
      <c r="H437" s="91" t="str">
        <f t="shared" si="63"/>
        <v/>
      </c>
      <c r="I437" s="91" t="str">
        <f t="shared" si="64"/>
        <v/>
      </c>
      <c r="J437" s="128"/>
      <c r="K437" s="128"/>
      <c r="L437" s="128"/>
      <c r="M437" s="95"/>
      <c r="O437" s="86" t="str">
        <f t="shared" si="65"/>
        <v/>
      </c>
      <c r="P437" s="86" t="str">
        <f t="shared" si="66"/>
        <v/>
      </c>
      <c r="Q437" s="86" t="str">
        <f t="shared" si="67"/>
        <v/>
      </c>
      <c r="R437" s="86" t="str">
        <f t="shared" si="68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61"/>
        <v/>
      </c>
      <c r="E438" s="96"/>
      <c r="F438" s="91" t="str">
        <f t="shared" si="62"/>
        <v/>
      </c>
      <c r="G438" s="129"/>
      <c r="H438" s="91" t="str">
        <f t="shared" si="63"/>
        <v/>
      </c>
      <c r="I438" s="91" t="str">
        <f t="shared" si="64"/>
        <v/>
      </c>
      <c r="J438" s="128"/>
      <c r="K438" s="128"/>
      <c r="L438" s="128"/>
      <c r="M438" s="95"/>
      <c r="O438" s="86" t="str">
        <f t="shared" si="65"/>
        <v/>
      </c>
      <c r="P438" s="86" t="str">
        <f t="shared" si="66"/>
        <v/>
      </c>
      <c r="Q438" s="86" t="str">
        <f t="shared" si="67"/>
        <v/>
      </c>
      <c r="R438" s="86" t="str">
        <f t="shared" si="68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61"/>
        <v/>
      </c>
      <c r="E439" s="96"/>
      <c r="F439" s="91" t="str">
        <f t="shared" si="62"/>
        <v/>
      </c>
      <c r="G439" s="129"/>
      <c r="H439" s="91" t="str">
        <f t="shared" si="63"/>
        <v/>
      </c>
      <c r="I439" s="91" t="str">
        <f t="shared" si="64"/>
        <v/>
      </c>
      <c r="J439" s="128"/>
      <c r="K439" s="128"/>
      <c r="L439" s="128"/>
      <c r="M439" s="95"/>
      <c r="O439" s="86" t="str">
        <f t="shared" si="65"/>
        <v/>
      </c>
      <c r="P439" s="86" t="str">
        <f t="shared" si="66"/>
        <v/>
      </c>
      <c r="Q439" s="86" t="str">
        <f t="shared" si="67"/>
        <v/>
      </c>
      <c r="R439" s="86" t="str">
        <f t="shared" si="68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61"/>
        <v/>
      </c>
      <c r="E440" s="96"/>
      <c r="F440" s="91" t="str">
        <f t="shared" si="62"/>
        <v/>
      </c>
      <c r="G440" s="129"/>
      <c r="H440" s="91" t="str">
        <f t="shared" si="63"/>
        <v/>
      </c>
      <c r="I440" s="91" t="str">
        <f t="shared" si="64"/>
        <v/>
      </c>
      <c r="J440" s="128"/>
      <c r="K440" s="128"/>
      <c r="L440" s="128"/>
      <c r="M440" s="95"/>
      <c r="O440" s="86" t="str">
        <f t="shared" si="65"/>
        <v/>
      </c>
      <c r="P440" s="86" t="str">
        <f t="shared" si="66"/>
        <v/>
      </c>
      <c r="Q440" s="86" t="str">
        <f t="shared" si="67"/>
        <v/>
      </c>
      <c r="R440" s="86" t="str">
        <f t="shared" si="68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61"/>
        <v/>
      </c>
      <c r="E441" s="96"/>
      <c r="F441" s="91" t="str">
        <f t="shared" si="62"/>
        <v/>
      </c>
      <c r="G441" s="129"/>
      <c r="H441" s="91" t="str">
        <f t="shared" si="63"/>
        <v/>
      </c>
      <c r="I441" s="91" t="str">
        <f t="shared" si="64"/>
        <v/>
      </c>
      <c r="J441" s="128"/>
      <c r="K441" s="128"/>
      <c r="L441" s="128"/>
      <c r="M441" s="95"/>
      <c r="O441" s="86" t="str">
        <f t="shared" si="65"/>
        <v/>
      </c>
      <c r="P441" s="86" t="str">
        <f t="shared" si="66"/>
        <v/>
      </c>
      <c r="Q441" s="86" t="str">
        <f t="shared" si="67"/>
        <v/>
      </c>
      <c r="R441" s="86" t="str">
        <f t="shared" si="68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61"/>
        <v/>
      </c>
      <c r="E442" s="96"/>
      <c r="F442" s="91" t="str">
        <f t="shared" si="62"/>
        <v/>
      </c>
      <c r="G442" s="129"/>
      <c r="H442" s="91" t="str">
        <f t="shared" si="63"/>
        <v/>
      </c>
      <c r="I442" s="91" t="str">
        <f t="shared" si="64"/>
        <v/>
      </c>
      <c r="J442" s="128"/>
      <c r="K442" s="128"/>
      <c r="L442" s="128"/>
      <c r="M442" s="95"/>
      <c r="O442" s="86" t="str">
        <f t="shared" si="65"/>
        <v/>
      </c>
      <c r="P442" s="86" t="str">
        <f t="shared" si="66"/>
        <v/>
      </c>
      <c r="Q442" s="86" t="str">
        <f t="shared" si="67"/>
        <v/>
      </c>
      <c r="R442" s="86" t="str">
        <f t="shared" si="68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61"/>
        <v/>
      </c>
      <c r="E443" s="96"/>
      <c r="F443" s="91" t="str">
        <f t="shared" si="62"/>
        <v/>
      </c>
      <c r="G443" s="129"/>
      <c r="H443" s="91" t="str">
        <f t="shared" si="63"/>
        <v/>
      </c>
      <c r="I443" s="91" t="str">
        <f t="shared" si="64"/>
        <v/>
      </c>
      <c r="J443" s="128"/>
      <c r="K443" s="128"/>
      <c r="L443" s="128"/>
      <c r="M443" s="95"/>
      <c r="O443" s="86" t="str">
        <f t="shared" si="65"/>
        <v/>
      </c>
      <c r="P443" s="86" t="str">
        <f t="shared" si="66"/>
        <v/>
      </c>
      <c r="Q443" s="86" t="str">
        <f t="shared" si="67"/>
        <v/>
      </c>
      <c r="R443" s="86" t="str">
        <f t="shared" si="68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61"/>
        <v/>
      </c>
      <c r="E444" s="96"/>
      <c r="F444" s="91" t="str">
        <f t="shared" si="62"/>
        <v/>
      </c>
      <c r="G444" s="129"/>
      <c r="H444" s="91" t="str">
        <f t="shared" si="63"/>
        <v/>
      </c>
      <c r="I444" s="91" t="str">
        <f t="shared" si="64"/>
        <v/>
      </c>
      <c r="J444" s="128"/>
      <c r="K444" s="128"/>
      <c r="L444" s="128"/>
      <c r="M444" s="95"/>
      <c r="O444" s="86" t="str">
        <f t="shared" si="65"/>
        <v/>
      </c>
      <c r="P444" s="86" t="str">
        <f t="shared" si="66"/>
        <v/>
      </c>
      <c r="Q444" s="86" t="str">
        <f t="shared" si="67"/>
        <v/>
      </c>
      <c r="R444" s="86" t="str">
        <f t="shared" si="68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61"/>
        <v/>
      </c>
      <c r="E445" s="96"/>
      <c r="F445" s="91" t="str">
        <f t="shared" si="62"/>
        <v/>
      </c>
      <c r="G445" s="129"/>
      <c r="H445" s="91" t="str">
        <f t="shared" si="63"/>
        <v/>
      </c>
      <c r="I445" s="91" t="str">
        <f t="shared" si="64"/>
        <v/>
      </c>
      <c r="J445" s="128"/>
      <c r="K445" s="128"/>
      <c r="L445" s="128"/>
      <c r="M445" s="95"/>
      <c r="O445" s="86" t="str">
        <f t="shared" si="65"/>
        <v/>
      </c>
      <c r="P445" s="86" t="str">
        <f t="shared" si="66"/>
        <v/>
      </c>
      <c r="Q445" s="86" t="str">
        <f t="shared" si="67"/>
        <v/>
      </c>
      <c r="R445" s="86" t="str">
        <f t="shared" si="68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61"/>
        <v/>
      </c>
      <c r="E446" s="96"/>
      <c r="F446" s="91" t="str">
        <f t="shared" si="62"/>
        <v/>
      </c>
      <c r="G446" s="129"/>
      <c r="H446" s="91" t="str">
        <f t="shared" si="63"/>
        <v/>
      </c>
      <c r="I446" s="91" t="str">
        <f t="shared" si="64"/>
        <v/>
      </c>
      <c r="J446" s="128"/>
      <c r="K446" s="128"/>
      <c r="L446" s="128"/>
      <c r="M446" s="95"/>
      <c r="O446" s="86" t="str">
        <f t="shared" si="65"/>
        <v/>
      </c>
      <c r="P446" s="86" t="str">
        <f t="shared" si="66"/>
        <v/>
      </c>
      <c r="Q446" s="86" t="str">
        <f t="shared" si="67"/>
        <v/>
      </c>
      <c r="R446" s="86" t="str">
        <f t="shared" si="68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61"/>
        <v/>
      </c>
      <c r="E447" s="96"/>
      <c r="F447" s="91" t="str">
        <f t="shared" si="62"/>
        <v/>
      </c>
      <c r="G447" s="129"/>
      <c r="H447" s="91" t="str">
        <f t="shared" si="63"/>
        <v/>
      </c>
      <c r="I447" s="91" t="str">
        <f t="shared" si="64"/>
        <v/>
      </c>
      <c r="J447" s="128"/>
      <c r="K447" s="128"/>
      <c r="L447" s="128"/>
      <c r="M447" s="95"/>
      <c r="O447" s="86" t="str">
        <f t="shared" si="65"/>
        <v/>
      </c>
      <c r="P447" s="86" t="str">
        <f t="shared" si="66"/>
        <v/>
      </c>
      <c r="Q447" s="86" t="str">
        <f t="shared" si="67"/>
        <v/>
      </c>
      <c r="R447" s="86" t="str">
        <f t="shared" si="68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61"/>
        <v/>
      </c>
      <c r="E448" s="96"/>
      <c r="F448" s="91" t="str">
        <f t="shared" si="62"/>
        <v/>
      </c>
      <c r="G448" s="129"/>
      <c r="H448" s="91" t="str">
        <f t="shared" si="63"/>
        <v/>
      </c>
      <c r="I448" s="91" t="str">
        <f t="shared" si="64"/>
        <v/>
      </c>
      <c r="J448" s="128"/>
      <c r="K448" s="128"/>
      <c r="L448" s="128"/>
      <c r="M448" s="95"/>
      <c r="O448" s="86" t="str">
        <f t="shared" si="65"/>
        <v/>
      </c>
      <c r="P448" s="86" t="str">
        <f t="shared" si="66"/>
        <v/>
      </c>
      <c r="Q448" s="86" t="str">
        <f t="shared" si="67"/>
        <v/>
      </c>
      <c r="R448" s="86" t="str">
        <f t="shared" si="68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61"/>
        <v/>
      </c>
      <c r="E449" s="96"/>
      <c r="F449" s="91" t="str">
        <f t="shared" si="62"/>
        <v/>
      </c>
      <c r="G449" s="129"/>
      <c r="H449" s="91" t="str">
        <f t="shared" si="63"/>
        <v/>
      </c>
      <c r="I449" s="91" t="str">
        <f t="shared" si="64"/>
        <v/>
      </c>
      <c r="J449" s="128"/>
      <c r="K449" s="128"/>
      <c r="L449" s="128"/>
      <c r="M449" s="95"/>
      <c r="O449" s="86" t="str">
        <f t="shared" si="65"/>
        <v/>
      </c>
      <c r="P449" s="86" t="str">
        <f t="shared" si="66"/>
        <v/>
      </c>
      <c r="Q449" s="86" t="str">
        <f t="shared" si="67"/>
        <v/>
      </c>
      <c r="R449" s="86" t="str">
        <f t="shared" si="68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61"/>
        <v/>
      </c>
      <c r="E450" s="96"/>
      <c r="F450" s="91" t="str">
        <f t="shared" si="62"/>
        <v/>
      </c>
      <c r="G450" s="129"/>
      <c r="H450" s="91" t="str">
        <f t="shared" si="63"/>
        <v/>
      </c>
      <c r="I450" s="91" t="str">
        <f t="shared" si="64"/>
        <v/>
      </c>
      <c r="J450" s="128"/>
      <c r="K450" s="128"/>
      <c r="L450" s="128"/>
      <c r="M450" s="95"/>
      <c r="O450" s="86" t="str">
        <f t="shared" si="65"/>
        <v/>
      </c>
      <c r="P450" s="86" t="str">
        <f t="shared" si="66"/>
        <v/>
      </c>
      <c r="Q450" s="86" t="str">
        <f t="shared" si="67"/>
        <v/>
      </c>
      <c r="R450" s="86" t="str">
        <f t="shared" si="68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9">IFERROR(VLOOKUP(C451,$S$6:$T$24,2,FALSE),"")</f>
        <v/>
      </c>
      <c r="E451" s="96"/>
      <c r="F451" s="91" t="str">
        <f t="shared" si="62"/>
        <v/>
      </c>
      <c r="G451" s="129"/>
      <c r="H451" s="91" t="str">
        <f t="shared" si="63"/>
        <v/>
      </c>
      <c r="I451" s="91" t="str">
        <f t="shared" si="64"/>
        <v/>
      </c>
      <c r="J451" s="128"/>
      <c r="K451" s="128"/>
      <c r="L451" s="128"/>
      <c r="M451" s="95"/>
      <c r="O451" s="86" t="str">
        <f t="shared" si="65"/>
        <v/>
      </c>
      <c r="P451" s="86" t="str">
        <f t="shared" si="66"/>
        <v/>
      </c>
      <c r="Q451" s="86" t="str">
        <f t="shared" si="67"/>
        <v/>
      </c>
      <c r="R451" s="86" t="str">
        <f t="shared" si="68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9"/>
        <v/>
      </c>
      <c r="E452" s="96"/>
      <c r="F452" s="91" t="str">
        <f t="shared" ref="F452:F501" si="70">IFERROR(VLOOKUP(E452,$V$5:$X$129,2,FALSE),"")</f>
        <v/>
      </c>
      <c r="G452" s="129"/>
      <c r="H452" s="91" t="str">
        <f t="shared" ref="H452:H501" si="71">IFERROR(VLOOKUP(G452,$AB$6:$AC$327,2,FALSE),"")</f>
        <v/>
      </c>
      <c r="I452" s="91" t="str">
        <f t="shared" ref="I452:I501" si="72">IFERROR(VLOOKUP(G452,$AB$6:$AF$327,3,FALSE),"")</f>
        <v/>
      </c>
      <c r="J452" s="128"/>
      <c r="K452" s="128"/>
      <c r="L452" s="128"/>
      <c r="M452" s="95"/>
      <c r="O452" s="86" t="str">
        <f t="shared" ref="O452:O501" si="73">LEFT(E452,3)</f>
        <v/>
      </c>
      <c r="P452" s="86" t="str">
        <f t="shared" ref="P452:P501" si="74">LEFT(E452,2)</f>
        <v/>
      </c>
      <c r="Q452" s="86" t="str">
        <f t="shared" ref="Q452:Q501" si="75">LEFT(C452,3)</f>
        <v/>
      </c>
      <c r="R452" s="86" t="str">
        <f t="shared" ref="R452:R501" si="76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9"/>
        <v/>
      </c>
      <c r="E453" s="96"/>
      <c r="F453" s="91" t="str">
        <f t="shared" si="70"/>
        <v/>
      </c>
      <c r="G453" s="129"/>
      <c r="H453" s="91" t="str">
        <f t="shared" si="71"/>
        <v/>
      </c>
      <c r="I453" s="91" t="str">
        <f t="shared" si="72"/>
        <v/>
      </c>
      <c r="J453" s="128"/>
      <c r="K453" s="128"/>
      <c r="L453" s="128"/>
      <c r="M453" s="95"/>
      <c r="O453" s="86" t="str">
        <f t="shared" si="73"/>
        <v/>
      </c>
      <c r="P453" s="86" t="str">
        <f t="shared" si="74"/>
        <v/>
      </c>
      <c r="Q453" s="86" t="str">
        <f t="shared" si="75"/>
        <v/>
      </c>
      <c r="R453" s="86" t="str">
        <f t="shared" si="76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9"/>
        <v/>
      </c>
      <c r="E454" s="96"/>
      <c r="F454" s="91" t="str">
        <f t="shared" si="70"/>
        <v/>
      </c>
      <c r="G454" s="129"/>
      <c r="H454" s="91" t="str">
        <f t="shared" si="71"/>
        <v/>
      </c>
      <c r="I454" s="91" t="str">
        <f t="shared" si="72"/>
        <v/>
      </c>
      <c r="J454" s="128"/>
      <c r="K454" s="128"/>
      <c r="L454" s="128"/>
      <c r="M454" s="95"/>
      <c r="O454" s="86" t="str">
        <f t="shared" si="73"/>
        <v/>
      </c>
      <c r="P454" s="86" t="str">
        <f t="shared" si="74"/>
        <v/>
      </c>
      <c r="Q454" s="86" t="str">
        <f t="shared" si="75"/>
        <v/>
      </c>
      <c r="R454" s="86" t="str">
        <f t="shared" si="76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9"/>
        <v/>
      </c>
      <c r="E455" s="96"/>
      <c r="F455" s="91" t="str">
        <f t="shared" si="70"/>
        <v/>
      </c>
      <c r="G455" s="129"/>
      <c r="H455" s="91" t="str">
        <f t="shared" si="71"/>
        <v/>
      </c>
      <c r="I455" s="91" t="str">
        <f t="shared" si="72"/>
        <v/>
      </c>
      <c r="J455" s="128"/>
      <c r="K455" s="128"/>
      <c r="L455" s="128"/>
      <c r="M455" s="95"/>
      <c r="O455" s="86" t="str">
        <f t="shared" si="73"/>
        <v/>
      </c>
      <c r="P455" s="86" t="str">
        <f t="shared" si="74"/>
        <v/>
      </c>
      <c r="Q455" s="86" t="str">
        <f t="shared" si="75"/>
        <v/>
      </c>
      <c r="R455" s="86" t="str">
        <f t="shared" si="76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9"/>
        <v/>
      </c>
      <c r="E456" s="96"/>
      <c r="F456" s="91" t="str">
        <f t="shared" si="70"/>
        <v/>
      </c>
      <c r="G456" s="129"/>
      <c r="H456" s="91" t="str">
        <f t="shared" si="71"/>
        <v/>
      </c>
      <c r="I456" s="91" t="str">
        <f t="shared" si="72"/>
        <v/>
      </c>
      <c r="J456" s="128"/>
      <c r="K456" s="128"/>
      <c r="L456" s="128"/>
      <c r="M456" s="95"/>
      <c r="O456" s="86" t="str">
        <f t="shared" si="73"/>
        <v/>
      </c>
      <c r="P456" s="86" t="str">
        <f t="shared" si="74"/>
        <v/>
      </c>
      <c r="Q456" s="86" t="str">
        <f t="shared" si="75"/>
        <v/>
      </c>
      <c r="R456" s="86" t="str">
        <f t="shared" si="76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9"/>
        <v/>
      </c>
      <c r="E457" s="96"/>
      <c r="F457" s="91" t="str">
        <f t="shared" si="70"/>
        <v/>
      </c>
      <c r="G457" s="129"/>
      <c r="H457" s="91" t="str">
        <f t="shared" si="71"/>
        <v/>
      </c>
      <c r="I457" s="91" t="str">
        <f t="shared" si="72"/>
        <v/>
      </c>
      <c r="J457" s="128"/>
      <c r="K457" s="128"/>
      <c r="L457" s="128"/>
      <c r="M457" s="95"/>
      <c r="O457" s="86" t="str">
        <f t="shared" si="73"/>
        <v/>
      </c>
      <c r="P457" s="86" t="str">
        <f t="shared" si="74"/>
        <v/>
      </c>
      <c r="Q457" s="86" t="str">
        <f t="shared" si="75"/>
        <v/>
      </c>
      <c r="R457" s="86" t="str">
        <f t="shared" si="76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9"/>
        <v/>
      </c>
      <c r="E458" s="96"/>
      <c r="F458" s="91" t="str">
        <f t="shared" si="70"/>
        <v/>
      </c>
      <c r="G458" s="129"/>
      <c r="H458" s="91" t="str">
        <f t="shared" si="71"/>
        <v/>
      </c>
      <c r="I458" s="91" t="str">
        <f t="shared" si="72"/>
        <v/>
      </c>
      <c r="J458" s="128"/>
      <c r="K458" s="128"/>
      <c r="L458" s="128"/>
      <c r="M458" s="95"/>
      <c r="O458" s="86" t="str">
        <f t="shared" si="73"/>
        <v/>
      </c>
      <c r="P458" s="86" t="str">
        <f t="shared" si="74"/>
        <v/>
      </c>
      <c r="Q458" s="86" t="str">
        <f t="shared" si="75"/>
        <v/>
      </c>
      <c r="R458" s="86" t="str">
        <f t="shared" si="76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9"/>
        <v/>
      </c>
      <c r="E459" s="96"/>
      <c r="F459" s="91" t="str">
        <f t="shared" si="70"/>
        <v/>
      </c>
      <c r="G459" s="129"/>
      <c r="H459" s="91" t="str">
        <f t="shared" si="71"/>
        <v/>
      </c>
      <c r="I459" s="91" t="str">
        <f t="shared" si="72"/>
        <v/>
      </c>
      <c r="J459" s="128"/>
      <c r="K459" s="128"/>
      <c r="L459" s="128"/>
      <c r="M459" s="95"/>
      <c r="O459" s="86" t="str">
        <f t="shared" si="73"/>
        <v/>
      </c>
      <c r="P459" s="86" t="str">
        <f t="shared" si="74"/>
        <v/>
      </c>
      <c r="Q459" s="86" t="str">
        <f t="shared" si="75"/>
        <v/>
      </c>
      <c r="R459" s="86" t="str">
        <f t="shared" si="76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9"/>
        <v/>
      </c>
      <c r="E460" s="96"/>
      <c r="F460" s="91" t="str">
        <f t="shared" si="70"/>
        <v/>
      </c>
      <c r="G460" s="129"/>
      <c r="H460" s="91" t="str">
        <f t="shared" si="71"/>
        <v/>
      </c>
      <c r="I460" s="91" t="str">
        <f t="shared" si="72"/>
        <v/>
      </c>
      <c r="J460" s="128"/>
      <c r="K460" s="128"/>
      <c r="L460" s="128"/>
      <c r="M460" s="95"/>
      <c r="O460" s="86" t="str">
        <f t="shared" si="73"/>
        <v/>
      </c>
      <c r="P460" s="86" t="str">
        <f t="shared" si="74"/>
        <v/>
      </c>
      <c r="Q460" s="86" t="str">
        <f t="shared" si="75"/>
        <v/>
      </c>
      <c r="R460" s="86" t="str">
        <f t="shared" si="76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9"/>
        <v/>
      </c>
      <c r="E461" s="96"/>
      <c r="F461" s="91" t="str">
        <f t="shared" si="70"/>
        <v/>
      </c>
      <c r="G461" s="129"/>
      <c r="H461" s="91" t="str">
        <f t="shared" si="71"/>
        <v/>
      </c>
      <c r="I461" s="91" t="str">
        <f t="shared" si="72"/>
        <v/>
      </c>
      <c r="J461" s="128"/>
      <c r="K461" s="128"/>
      <c r="L461" s="128"/>
      <c r="M461" s="95"/>
      <c r="O461" s="86" t="str">
        <f t="shared" si="73"/>
        <v/>
      </c>
      <c r="P461" s="86" t="str">
        <f t="shared" si="74"/>
        <v/>
      </c>
      <c r="Q461" s="86" t="str">
        <f t="shared" si="75"/>
        <v/>
      </c>
      <c r="R461" s="86" t="str">
        <f t="shared" si="76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9"/>
        <v/>
      </c>
      <c r="E462" s="96"/>
      <c r="F462" s="91" t="str">
        <f t="shared" si="70"/>
        <v/>
      </c>
      <c r="G462" s="129"/>
      <c r="H462" s="91" t="str">
        <f t="shared" si="71"/>
        <v/>
      </c>
      <c r="I462" s="91" t="str">
        <f t="shared" si="72"/>
        <v/>
      </c>
      <c r="J462" s="128"/>
      <c r="K462" s="128"/>
      <c r="L462" s="128"/>
      <c r="M462" s="95"/>
      <c r="O462" s="86" t="str">
        <f t="shared" si="73"/>
        <v/>
      </c>
      <c r="P462" s="86" t="str">
        <f t="shared" si="74"/>
        <v/>
      </c>
      <c r="Q462" s="86" t="str">
        <f t="shared" si="75"/>
        <v/>
      </c>
      <c r="R462" s="86" t="str">
        <f t="shared" si="76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9"/>
        <v/>
      </c>
      <c r="E463" s="96"/>
      <c r="F463" s="91" t="str">
        <f t="shared" si="70"/>
        <v/>
      </c>
      <c r="G463" s="129"/>
      <c r="H463" s="91" t="str">
        <f t="shared" si="71"/>
        <v/>
      </c>
      <c r="I463" s="91" t="str">
        <f t="shared" si="72"/>
        <v/>
      </c>
      <c r="J463" s="128"/>
      <c r="K463" s="128"/>
      <c r="L463" s="128"/>
      <c r="M463" s="95"/>
      <c r="O463" s="86" t="str">
        <f t="shared" si="73"/>
        <v/>
      </c>
      <c r="P463" s="86" t="str">
        <f t="shared" si="74"/>
        <v/>
      </c>
      <c r="Q463" s="86" t="str">
        <f t="shared" si="75"/>
        <v/>
      </c>
      <c r="R463" s="86" t="str">
        <f t="shared" si="76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9"/>
        <v/>
      </c>
      <c r="E464" s="96"/>
      <c r="F464" s="91" t="str">
        <f t="shared" si="70"/>
        <v/>
      </c>
      <c r="G464" s="129"/>
      <c r="H464" s="91" t="str">
        <f t="shared" si="71"/>
        <v/>
      </c>
      <c r="I464" s="91" t="str">
        <f t="shared" si="72"/>
        <v/>
      </c>
      <c r="J464" s="128"/>
      <c r="K464" s="128"/>
      <c r="L464" s="128"/>
      <c r="M464" s="95"/>
      <c r="O464" s="86" t="str">
        <f t="shared" si="73"/>
        <v/>
      </c>
      <c r="P464" s="86" t="str">
        <f t="shared" si="74"/>
        <v/>
      </c>
      <c r="Q464" s="86" t="str">
        <f t="shared" si="75"/>
        <v/>
      </c>
      <c r="R464" s="86" t="str">
        <f t="shared" si="76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9"/>
        <v/>
      </c>
      <c r="E465" s="96"/>
      <c r="F465" s="91" t="str">
        <f t="shared" si="70"/>
        <v/>
      </c>
      <c r="G465" s="129"/>
      <c r="H465" s="91" t="str">
        <f t="shared" si="71"/>
        <v/>
      </c>
      <c r="I465" s="91" t="str">
        <f t="shared" si="72"/>
        <v/>
      </c>
      <c r="J465" s="128"/>
      <c r="K465" s="128"/>
      <c r="L465" s="128"/>
      <c r="M465" s="95"/>
      <c r="O465" s="86" t="str">
        <f t="shared" si="73"/>
        <v/>
      </c>
      <c r="P465" s="86" t="str">
        <f t="shared" si="74"/>
        <v/>
      </c>
      <c r="Q465" s="86" t="str">
        <f t="shared" si="75"/>
        <v/>
      </c>
      <c r="R465" s="86" t="str">
        <f t="shared" si="76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9"/>
        <v/>
      </c>
      <c r="E466" s="96"/>
      <c r="F466" s="91" t="str">
        <f t="shared" si="70"/>
        <v/>
      </c>
      <c r="G466" s="129"/>
      <c r="H466" s="91" t="str">
        <f t="shared" si="71"/>
        <v/>
      </c>
      <c r="I466" s="91" t="str">
        <f t="shared" si="72"/>
        <v/>
      </c>
      <c r="J466" s="128"/>
      <c r="K466" s="128"/>
      <c r="L466" s="128"/>
      <c r="M466" s="95"/>
      <c r="O466" s="86" t="str">
        <f t="shared" si="73"/>
        <v/>
      </c>
      <c r="P466" s="86" t="str">
        <f t="shared" si="74"/>
        <v/>
      </c>
      <c r="Q466" s="86" t="str">
        <f t="shared" si="75"/>
        <v/>
      </c>
      <c r="R466" s="86" t="str">
        <f t="shared" si="76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9"/>
        <v/>
      </c>
      <c r="E467" s="96"/>
      <c r="F467" s="91" t="str">
        <f t="shared" si="70"/>
        <v/>
      </c>
      <c r="G467" s="129"/>
      <c r="H467" s="91" t="str">
        <f t="shared" si="71"/>
        <v/>
      </c>
      <c r="I467" s="91" t="str">
        <f t="shared" si="72"/>
        <v/>
      </c>
      <c r="J467" s="128"/>
      <c r="K467" s="128"/>
      <c r="L467" s="128"/>
      <c r="M467" s="95"/>
      <c r="O467" s="86" t="str">
        <f t="shared" si="73"/>
        <v/>
      </c>
      <c r="P467" s="86" t="str">
        <f t="shared" si="74"/>
        <v/>
      </c>
      <c r="Q467" s="86" t="str">
        <f t="shared" si="75"/>
        <v/>
      </c>
      <c r="R467" s="86" t="str">
        <f t="shared" si="76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9"/>
        <v/>
      </c>
      <c r="E468" s="96"/>
      <c r="F468" s="91" t="str">
        <f t="shared" si="70"/>
        <v/>
      </c>
      <c r="G468" s="129"/>
      <c r="H468" s="91" t="str">
        <f t="shared" si="71"/>
        <v/>
      </c>
      <c r="I468" s="91" t="str">
        <f t="shared" si="72"/>
        <v/>
      </c>
      <c r="J468" s="128"/>
      <c r="K468" s="128"/>
      <c r="L468" s="128"/>
      <c r="M468" s="95"/>
      <c r="O468" s="86" t="str">
        <f t="shared" si="73"/>
        <v/>
      </c>
      <c r="P468" s="86" t="str">
        <f t="shared" si="74"/>
        <v/>
      </c>
      <c r="Q468" s="86" t="str">
        <f t="shared" si="75"/>
        <v/>
      </c>
      <c r="R468" s="86" t="str">
        <f t="shared" si="76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9"/>
        <v/>
      </c>
      <c r="E469" s="96"/>
      <c r="F469" s="91" t="str">
        <f t="shared" si="70"/>
        <v/>
      </c>
      <c r="G469" s="129"/>
      <c r="H469" s="91" t="str">
        <f t="shared" si="71"/>
        <v/>
      </c>
      <c r="I469" s="91" t="str">
        <f t="shared" si="72"/>
        <v/>
      </c>
      <c r="J469" s="128"/>
      <c r="K469" s="128"/>
      <c r="L469" s="128"/>
      <c r="M469" s="95"/>
      <c r="O469" s="86" t="str">
        <f t="shared" si="73"/>
        <v/>
      </c>
      <c r="P469" s="86" t="str">
        <f t="shared" si="74"/>
        <v/>
      </c>
      <c r="Q469" s="86" t="str">
        <f t="shared" si="75"/>
        <v/>
      </c>
      <c r="R469" s="86" t="str">
        <f t="shared" si="76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9"/>
        <v/>
      </c>
      <c r="E470" s="96"/>
      <c r="F470" s="91" t="str">
        <f t="shared" si="70"/>
        <v/>
      </c>
      <c r="G470" s="129"/>
      <c r="H470" s="91" t="str">
        <f t="shared" si="71"/>
        <v/>
      </c>
      <c r="I470" s="91" t="str">
        <f t="shared" si="72"/>
        <v/>
      </c>
      <c r="J470" s="128"/>
      <c r="K470" s="128"/>
      <c r="L470" s="128"/>
      <c r="M470" s="95"/>
      <c r="O470" s="86" t="str">
        <f t="shared" si="73"/>
        <v/>
      </c>
      <c r="P470" s="86" t="str">
        <f t="shared" si="74"/>
        <v/>
      </c>
      <c r="Q470" s="86" t="str">
        <f t="shared" si="75"/>
        <v/>
      </c>
      <c r="R470" s="86" t="str">
        <f t="shared" si="76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9"/>
        <v/>
      </c>
      <c r="E471" s="96"/>
      <c r="F471" s="91" t="str">
        <f t="shared" si="70"/>
        <v/>
      </c>
      <c r="G471" s="129"/>
      <c r="H471" s="91" t="str">
        <f t="shared" si="71"/>
        <v/>
      </c>
      <c r="I471" s="91" t="str">
        <f t="shared" si="72"/>
        <v/>
      </c>
      <c r="J471" s="128"/>
      <c r="K471" s="128"/>
      <c r="L471" s="128"/>
      <c r="M471" s="95"/>
      <c r="O471" s="86" t="str">
        <f t="shared" si="73"/>
        <v/>
      </c>
      <c r="P471" s="86" t="str">
        <f t="shared" si="74"/>
        <v/>
      </c>
      <c r="Q471" s="86" t="str">
        <f t="shared" si="75"/>
        <v/>
      </c>
      <c r="R471" s="86" t="str">
        <f t="shared" si="76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9"/>
        <v/>
      </c>
      <c r="E472" s="96"/>
      <c r="F472" s="91" t="str">
        <f t="shared" si="70"/>
        <v/>
      </c>
      <c r="G472" s="129"/>
      <c r="H472" s="91" t="str">
        <f t="shared" si="71"/>
        <v/>
      </c>
      <c r="I472" s="91" t="str">
        <f t="shared" si="72"/>
        <v/>
      </c>
      <c r="J472" s="128"/>
      <c r="K472" s="128"/>
      <c r="L472" s="128"/>
      <c r="M472" s="95"/>
      <c r="O472" s="86" t="str">
        <f t="shared" si="73"/>
        <v/>
      </c>
      <c r="P472" s="86" t="str">
        <f t="shared" si="74"/>
        <v/>
      </c>
      <c r="Q472" s="86" t="str">
        <f t="shared" si="75"/>
        <v/>
      </c>
      <c r="R472" s="86" t="str">
        <f t="shared" si="76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9"/>
        <v/>
      </c>
      <c r="E473" s="96"/>
      <c r="F473" s="91" t="str">
        <f t="shared" si="70"/>
        <v/>
      </c>
      <c r="G473" s="129"/>
      <c r="H473" s="91" t="str">
        <f t="shared" si="71"/>
        <v/>
      </c>
      <c r="I473" s="91" t="str">
        <f t="shared" si="72"/>
        <v/>
      </c>
      <c r="J473" s="128"/>
      <c r="K473" s="128"/>
      <c r="L473" s="128"/>
      <c r="M473" s="95"/>
      <c r="O473" s="86" t="str">
        <f t="shared" si="73"/>
        <v/>
      </c>
      <c r="P473" s="86" t="str">
        <f t="shared" si="74"/>
        <v/>
      </c>
      <c r="Q473" s="86" t="str">
        <f t="shared" si="75"/>
        <v/>
      </c>
      <c r="R473" s="86" t="str">
        <f t="shared" si="76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9"/>
        <v/>
      </c>
      <c r="E474" s="96"/>
      <c r="F474" s="91" t="str">
        <f t="shared" si="70"/>
        <v/>
      </c>
      <c r="G474" s="129"/>
      <c r="H474" s="91" t="str">
        <f t="shared" si="71"/>
        <v/>
      </c>
      <c r="I474" s="91" t="str">
        <f t="shared" si="72"/>
        <v/>
      </c>
      <c r="J474" s="128"/>
      <c r="K474" s="128"/>
      <c r="L474" s="128"/>
      <c r="M474" s="95"/>
      <c r="O474" s="86" t="str">
        <f t="shared" si="73"/>
        <v/>
      </c>
      <c r="P474" s="86" t="str">
        <f t="shared" si="74"/>
        <v/>
      </c>
      <c r="Q474" s="86" t="str">
        <f t="shared" si="75"/>
        <v/>
      </c>
      <c r="R474" s="86" t="str">
        <f t="shared" si="76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9"/>
        <v/>
      </c>
      <c r="E475" s="96"/>
      <c r="F475" s="91" t="str">
        <f t="shared" si="70"/>
        <v/>
      </c>
      <c r="G475" s="129"/>
      <c r="H475" s="91" t="str">
        <f t="shared" si="71"/>
        <v/>
      </c>
      <c r="I475" s="91" t="str">
        <f t="shared" si="72"/>
        <v/>
      </c>
      <c r="J475" s="128"/>
      <c r="K475" s="128"/>
      <c r="L475" s="128"/>
      <c r="M475" s="95"/>
      <c r="O475" s="86" t="str">
        <f t="shared" si="73"/>
        <v/>
      </c>
      <c r="P475" s="86" t="str">
        <f t="shared" si="74"/>
        <v/>
      </c>
      <c r="Q475" s="86" t="str">
        <f t="shared" si="75"/>
        <v/>
      </c>
      <c r="R475" s="86" t="str">
        <f t="shared" si="76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9"/>
        <v/>
      </c>
      <c r="E476" s="96"/>
      <c r="F476" s="91" t="str">
        <f t="shared" si="70"/>
        <v/>
      </c>
      <c r="G476" s="129"/>
      <c r="H476" s="91" t="str">
        <f t="shared" si="71"/>
        <v/>
      </c>
      <c r="I476" s="91" t="str">
        <f t="shared" si="72"/>
        <v/>
      </c>
      <c r="J476" s="128"/>
      <c r="K476" s="128"/>
      <c r="L476" s="128"/>
      <c r="M476" s="95"/>
      <c r="O476" s="86" t="str">
        <f t="shared" si="73"/>
        <v/>
      </c>
      <c r="P476" s="86" t="str">
        <f t="shared" si="74"/>
        <v/>
      </c>
      <c r="Q476" s="86" t="str">
        <f t="shared" si="75"/>
        <v/>
      </c>
      <c r="R476" s="86" t="str">
        <f t="shared" si="76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9"/>
        <v/>
      </c>
      <c r="E477" s="96"/>
      <c r="F477" s="91" t="str">
        <f t="shared" si="70"/>
        <v/>
      </c>
      <c r="G477" s="129"/>
      <c r="H477" s="91" t="str">
        <f t="shared" si="71"/>
        <v/>
      </c>
      <c r="I477" s="91" t="str">
        <f t="shared" si="72"/>
        <v/>
      </c>
      <c r="J477" s="128"/>
      <c r="K477" s="128"/>
      <c r="L477" s="128"/>
      <c r="M477" s="95"/>
      <c r="O477" s="86" t="str">
        <f t="shared" si="73"/>
        <v/>
      </c>
      <c r="P477" s="86" t="str">
        <f t="shared" si="74"/>
        <v/>
      </c>
      <c r="Q477" s="86" t="str">
        <f t="shared" si="75"/>
        <v/>
      </c>
      <c r="R477" s="86" t="str">
        <f t="shared" si="76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9"/>
        <v/>
      </c>
      <c r="E478" s="96"/>
      <c r="F478" s="91" t="str">
        <f t="shared" si="70"/>
        <v/>
      </c>
      <c r="G478" s="129"/>
      <c r="H478" s="91" t="str">
        <f t="shared" si="71"/>
        <v/>
      </c>
      <c r="I478" s="91" t="str">
        <f t="shared" si="72"/>
        <v/>
      </c>
      <c r="J478" s="128"/>
      <c r="K478" s="128"/>
      <c r="L478" s="128"/>
      <c r="M478" s="95"/>
      <c r="O478" s="86" t="str">
        <f t="shared" si="73"/>
        <v/>
      </c>
      <c r="P478" s="86" t="str">
        <f t="shared" si="74"/>
        <v/>
      </c>
      <c r="Q478" s="86" t="str">
        <f t="shared" si="75"/>
        <v/>
      </c>
      <c r="R478" s="86" t="str">
        <f t="shared" si="76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9"/>
        <v/>
      </c>
      <c r="E479" s="96"/>
      <c r="F479" s="91" t="str">
        <f t="shared" si="70"/>
        <v/>
      </c>
      <c r="G479" s="129"/>
      <c r="H479" s="91" t="str">
        <f t="shared" si="71"/>
        <v/>
      </c>
      <c r="I479" s="91" t="str">
        <f t="shared" si="72"/>
        <v/>
      </c>
      <c r="J479" s="128"/>
      <c r="K479" s="128"/>
      <c r="L479" s="128"/>
      <c r="M479" s="95"/>
      <c r="O479" s="86" t="str">
        <f t="shared" si="73"/>
        <v/>
      </c>
      <c r="P479" s="86" t="str">
        <f t="shared" si="74"/>
        <v/>
      </c>
      <c r="Q479" s="86" t="str">
        <f t="shared" si="75"/>
        <v/>
      </c>
      <c r="R479" s="86" t="str">
        <f t="shared" si="76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9"/>
        <v/>
      </c>
      <c r="E480" s="96"/>
      <c r="F480" s="91" t="str">
        <f t="shared" si="70"/>
        <v/>
      </c>
      <c r="G480" s="129"/>
      <c r="H480" s="91" t="str">
        <f t="shared" si="71"/>
        <v/>
      </c>
      <c r="I480" s="91" t="str">
        <f t="shared" si="72"/>
        <v/>
      </c>
      <c r="J480" s="128"/>
      <c r="K480" s="128"/>
      <c r="L480" s="128"/>
      <c r="M480" s="95"/>
      <c r="O480" s="86" t="str">
        <f t="shared" si="73"/>
        <v/>
      </c>
      <c r="P480" s="86" t="str">
        <f t="shared" si="74"/>
        <v/>
      </c>
      <c r="Q480" s="86" t="str">
        <f t="shared" si="75"/>
        <v/>
      </c>
      <c r="R480" s="86" t="str">
        <f t="shared" si="76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9"/>
        <v/>
      </c>
      <c r="E481" s="96"/>
      <c r="F481" s="91" t="str">
        <f t="shared" si="70"/>
        <v/>
      </c>
      <c r="G481" s="129"/>
      <c r="H481" s="91" t="str">
        <f t="shared" si="71"/>
        <v/>
      </c>
      <c r="I481" s="91" t="str">
        <f t="shared" si="72"/>
        <v/>
      </c>
      <c r="J481" s="128"/>
      <c r="K481" s="128"/>
      <c r="L481" s="128"/>
      <c r="M481" s="95"/>
      <c r="O481" s="86" t="str">
        <f t="shared" si="73"/>
        <v/>
      </c>
      <c r="P481" s="86" t="str">
        <f t="shared" si="74"/>
        <v/>
      </c>
      <c r="Q481" s="86" t="str">
        <f t="shared" si="75"/>
        <v/>
      </c>
      <c r="R481" s="86" t="str">
        <f t="shared" si="76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9"/>
        <v/>
      </c>
      <c r="E482" s="96"/>
      <c r="F482" s="91" t="str">
        <f t="shared" si="70"/>
        <v/>
      </c>
      <c r="G482" s="129"/>
      <c r="H482" s="91" t="str">
        <f t="shared" si="71"/>
        <v/>
      </c>
      <c r="I482" s="91" t="str">
        <f t="shared" si="72"/>
        <v/>
      </c>
      <c r="J482" s="128"/>
      <c r="K482" s="128"/>
      <c r="L482" s="128"/>
      <c r="M482" s="95"/>
      <c r="O482" s="86" t="str">
        <f t="shared" si="73"/>
        <v/>
      </c>
      <c r="P482" s="86" t="str">
        <f t="shared" si="74"/>
        <v/>
      </c>
      <c r="Q482" s="86" t="str">
        <f t="shared" si="75"/>
        <v/>
      </c>
      <c r="R482" s="86" t="str">
        <f t="shared" si="76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9"/>
        <v/>
      </c>
      <c r="E483" s="96"/>
      <c r="F483" s="91" t="str">
        <f t="shared" si="70"/>
        <v/>
      </c>
      <c r="G483" s="129"/>
      <c r="H483" s="91" t="str">
        <f t="shared" si="71"/>
        <v/>
      </c>
      <c r="I483" s="91" t="str">
        <f t="shared" si="72"/>
        <v/>
      </c>
      <c r="J483" s="128"/>
      <c r="K483" s="128"/>
      <c r="L483" s="128"/>
      <c r="M483" s="95"/>
      <c r="O483" s="86" t="str">
        <f t="shared" si="73"/>
        <v/>
      </c>
      <c r="P483" s="86" t="str">
        <f t="shared" si="74"/>
        <v/>
      </c>
      <c r="Q483" s="86" t="str">
        <f t="shared" si="75"/>
        <v/>
      </c>
      <c r="R483" s="86" t="str">
        <f t="shared" si="76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9"/>
        <v/>
      </c>
      <c r="E484" s="96"/>
      <c r="F484" s="91" t="str">
        <f t="shared" si="70"/>
        <v/>
      </c>
      <c r="G484" s="129"/>
      <c r="H484" s="91" t="str">
        <f t="shared" si="71"/>
        <v/>
      </c>
      <c r="I484" s="91" t="str">
        <f t="shared" si="72"/>
        <v/>
      </c>
      <c r="J484" s="128"/>
      <c r="K484" s="128"/>
      <c r="L484" s="128"/>
      <c r="M484" s="95"/>
      <c r="O484" s="86" t="str">
        <f t="shared" si="73"/>
        <v/>
      </c>
      <c r="P484" s="86" t="str">
        <f t="shared" si="74"/>
        <v/>
      </c>
      <c r="Q484" s="86" t="str">
        <f t="shared" si="75"/>
        <v/>
      </c>
      <c r="R484" s="86" t="str">
        <f t="shared" si="76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9"/>
        <v/>
      </c>
      <c r="E485" s="96"/>
      <c r="F485" s="91" t="str">
        <f t="shared" si="70"/>
        <v/>
      </c>
      <c r="G485" s="129"/>
      <c r="H485" s="91" t="str">
        <f t="shared" si="71"/>
        <v/>
      </c>
      <c r="I485" s="91" t="str">
        <f t="shared" si="72"/>
        <v/>
      </c>
      <c r="J485" s="128"/>
      <c r="K485" s="128"/>
      <c r="L485" s="128"/>
      <c r="M485" s="95"/>
      <c r="O485" s="86" t="str">
        <f t="shared" si="73"/>
        <v/>
      </c>
      <c r="P485" s="86" t="str">
        <f t="shared" si="74"/>
        <v/>
      </c>
      <c r="Q485" s="86" t="str">
        <f t="shared" si="75"/>
        <v/>
      </c>
      <c r="R485" s="86" t="str">
        <f t="shared" si="76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9"/>
        <v/>
      </c>
      <c r="E486" s="96"/>
      <c r="F486" s="91" t="str">
        <f t="shared" si="70"/>
        <v/>
      </c>
      <c r="G486" s="129"/>
      <c r="H486" s="91" t="str">
        <f t="shared" si="71"/>
        <v/>
      </c>
      <c r="I486" s="91" t="str">
        <f t="shared" si="72"/>
        <v/>
      </c>
      <c r="J486" s="128"/>
      <c r="K486" s="128"/>
      <c r="L486" s="128"/>
      <c r="M486" s="95"/>
      <c r="O486" s="86" t="str">
        <f t="shared" si="73"/>
        <v/>
      </c>
      <c r="P486" s="86" t="str">
        <f t="shared" si="74"/>
        <v/>
      </c>
      <c r="Q486" s="86" t="str">
        <f t="shared" si="75"/>
        <v/>
      </c>
      <c r="R486" s="86" t="str">
        <f t="shared" si="76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9"/>
        <v/>
      </c>
      <c r="E487" s="96"/>
      <c r="F487" s="91" t="str">
        <f t="shared" si="70"/>
        <v/>
      </c>
      <c r="G487" s="129"/>
      <c r="H487" s="91" t="str">
        <f t="shared" si="71"/>
        <v/>
      </c>
      <c r="I487" s="91" t="str">
        <f t="shared" si="72"/>
        <v/>
      </c>
      <c r="J487" s="128"/>
      <c r="K487" s="128"/>
      <c r="L487" s="128"/>
      <c r="M487" s="95"/>
      <c r="O487" s="86" t="str">
        <f t="shared" si="73"/>
        <v/>
      </c>
      <c r="P487" s="86" t="str">
        <f t="shared" si="74"/>
        <v/>
      </c>
      <c r="Q487" s="86" t="str">
        <f t="shared" si="75"/>
        <v/>
      </c>
      <c r="R487" s="86" t="str">
        <f t="shared" si="76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9"/>
        <v/>
      </c>
      <c r="E488" s="96"/>
      <c r="F488" s="91" t="str">
        <f t="shared" si="70"/>
        <v/>
      </c>
      <c r="G488" s="129"/>
      <c r="H488" s="91" t="str">
        <f t="shared" si="71"/>
        <v/>
      </c>
      <c r="I488" s="91" t="str">
        <f t="shared" si="72"/>
        <v/>
      </c>
      <c r="J488" s="128"/>
      <c r="K488" s="128"/>
      <c r="L488" s="128"/>
      <c r="M488" s="95"/>
      <c r="O488" s="86" t="str">
        <f t="shared" si="73"/>
        <v/>
      </c>
      <c r="P488" s="86" t="str">
        <f t="shared" si="74"/>
        <v/>
      </c>
      <c r="Q488" s="86" t="str">
        <f t="shared" si="75"/>
        <v/>
      </c>
      <c r="R488" s="86" t="str">
        <f t="shared" si="76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9"/>
        <v/>
      </c>
      <c r="E489" s="96"/>
      <c r="F489" s="91" t="str">
        <f t="shared" si="70"/>
        <v/>
      </c>
      <c r="G489" s="129"/>
      <c r="H489" s="91" t="str">
        <f t="shared" si="71"/>
        <v/>
      </c>
      <c r="I489" s="91" t="str">
        <f t="shared" si="72"/>
        <v/>
      </c>
      <c r="J489" s="128"/>
      <c r="K489" s="128"/>
      <c r="L489" s="128"/>
      <c r="M489" s="95"/>
      <c r="O489" s="86" t="str">
        <f t="shared" si="73"/>
        <v/>
      </c>
      <c r="P489" s="86" t="str">
        <f t="shared" si="74"/>
        <v/>
      </c>
      <c r="Q489" s="86" t="str">
        <f t="shared" si="75"/>
        <v/>
      </c>
      <c r="R489" s="86" t="str">
        <f t="shared" si="76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9"/>
        <v/>
      </c>
      <c r="E490" s="96"/>
      <c r="F490" s="91" t="str">
        <f t="shared" si="70"/>
        <v/>
      </c>
      <c r="G490" s="129"/>
      <c r="H490" s="91" t="str">
        <f t="shared" si="71"/>
        <v/>
      </c>
      <c r="I490" s="91" t="str">
        <f t="shared" si="72"/>
        <v/>
      </c>
      <c r="J490" s="128"/>
      <c r="K490" s="128"/>
      <c r="L490" s="128"/>
      <c r="M490" s="95"/>
      <c r="O490" s="86" t="str">
        <f t="shared" si="73"/>
        <v/>
      </c>
      <c r="P490" s="86" t="str">
        <f t="shared" si="74"/>
        <v/>
      </c>
      <c r="Q490" s="86" t="str">
        <f t="shared" si="75"/>
        <v/>
      </c>
      <c r="R490" s="86" t="str">
        <f t="shared" si="76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9"/>
        <v/>
      </c>
      <c r="E491" s="96"/>
      <c r="F491" s="91" t="str">
        <f t="shared" si="70"/>
        <v/>
      </c>
      <c r="G491" s="129"/>
      <c r="H491" s="91" t="str">
        <f t="shared" si="71"/>
        <v/>
      </c>
      <c r="I491" s="91" t="str">
        <f t="shared" si="72"/>
        <v/>
      </c>
      <c r="J491" s="128"/>
      <c r="K491" s="128"/>
      <c r="L491" s="128"/>
      <c r="M491" s="95"/>
      <c r="O491" s="86" t="str">
        <f t="shared" si="73"/>
        <v/>
      </c>
      <c r="P491" s="86" t="str">
        <f t="shared" si="74"/>
        <v/>
      </c>
      <c r="Q491" s="86" t="str">
        <f t="shared" si="75"/>
        <v/>
      </c>
      <c r="R491" s="86" t="str">
        <f t="shared" si="76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9"/>
        <v/>
      </c>
      <c r="E492" s="96"/>
      <c r="F492" s="91" t="str">
        <f t="shared" si="70"/>
        <v/>
      </c>
      <c r="G492" s="129"/>
      <c r="H492" s="91" t="str">
        <f t="shared" si="71"/>
        <v/>
      </c>
      <c r="I492" s="91" t="str">
        <f t="shared" si="72"/>
        <v/>
      </c>
      <c r="J492" s="128"/>
      <c r="K492" s="128"/>
      <c r="L492" s="128"/>
      <c r="M492" s="95"/>
      <c r="O492" s="86" t="str">
        <f t="shared" si="73"/>
        <v/>
      </c>
      <c r="P492" s="86" t="str">
        <f t="shared" si="74"/>
        <v/>
      </c>
      <c r="Q492" s="86" t="str">
        <f t="shared" si="75"/>
        <v/>
      </c>
      <c r="R492" s="86" t="str">
        <f t="shared" si="76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9"/>
        <v/>
      </c>
      <c r="E493" s="96"/>
      <c r="F493" s="91" t="str">
        <f t="shared" si="70"/>
        <v/>
      </c>
      <c r="G493" s="129"/>
      <c r="H493" s="91" t="str">
        <f t="shared" si="71"/>
        <v/>
      </c>
      <c r="I493" s="91" t="str">
        <f t="shared" si="72"/>
        <v/>
      </c>
      <c r="J493" s="128"/>
      <c r="K493" s="128"/>
      <c r="L493" s="128"/>
      <c r="M493" s="95"/>
      <c r="O493" s="86" t="str">
        <f t="shared" si="73"/>
        <v/>
      </c>
      <c r="P493" s="86" t="str">
        <f t="shared" si="74"/>
        <v/>
      </c>
      <c r="Q493" s="86" t="str">
        <f t="shared" si="75"/>
        <v/>
      </c>
      <c r="R493" s="86" t="str">
        <f t="shared" si="76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9"/>
        <v/>
      </c>
      <c r="E494" s="96"/>
      <c r="F494" s="91" t="str">
        <f t="shared" si="70"/>
        <v/>
      </c>
      <c r="G494" s="129"/>
      <c r="H494" s="91" t="str">
        <f t="shared" si="71"/>
        <v/>
      </c>
      <c r="I494" s="91" t="str">
        <f t="shared" si="72"/>
        <v/>
      </c>
      <c r="J494" s="128"/>
      <c r="K494" s="128"/>
      <c r="L494" s="128"/>
      <c r="M494" s="95"/>
      <c r="O494" s="86" t="str">
        <f t="shared" si="73"/>
        <v/>
      </c>
      <c r="P494" s="86" t="str">
        <f t="shared" si="74"/>
        <v/>
      </c>
      <c r="Q494" s="86" t="str">
        <f t="shared" si="75"/>
        <v/>
      </c>
      <c r="R494" s="86" t="str">
        <f t="shared" si="76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9"/>
        <v/>
      </c>
      <c r="E495" s="96"/>
      <c r="F495" s="91" t="str">
        <f t="shared" si="70"/>
        <v/>
      </c>
      <c r="G495" s="129"/>
      <c r="H495" s="91" t="str">
        <f t="shared" si="71"/>
        <v/>
      </c>
      <c r="I495" s="91" t="str">
        <f t="shared" si="72"/>
        <v/>
      </c>
      <c r="J495" s="128"/>
      <c r="K495" s="128"/>
      <c r="L495" s="128"/>
      <c r="M495" s="95"/>
      <c r="O495" s="86" t="str">
        <f t="shared" si="73"/>
        <v/>
      </c>
      <c r="P495" s="86" t="str">
        <f t="shared" si="74"/>
        <v/>
      </c>
      <c r="Q495" s="86" t="str">
        <f t="shared" si="75"/>
        <v/>
      </c>
      <c r="R495" s="86" t="str">
        <f t="shared" si="76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9"/>
        <v/>
      </c>
      <c r="E496" s="96"/>
      <c r="F496" s="91" t="str">
        <f t="shared" si="70"/>
        <v/>
      </c>
      <c r="G496" s="129"/>
      <c r="H496" s="91" t="str">
        <f t="shared" si="71"/>
        <v/>
      </c>
      <c r="I496" s="91" t="str">
        <f t="shared" si="72"/>
        <v/>
      </c>
      <c r="J496" s="128"/>
      <c r="K496" s="128"/>
      <c r="L496" s="128"/>
      <c r="M496" s="95"/>
      <c r="O496" s="86" t="str">
        <f t="shared" si="73"/>
        <v/>
      </c>
      <c r="P496" s="86" t="str">
        <f t="shared" si="74"/>
        <v/>
      </c>
      <c r="Q496" s="86" t="str">
        <f t="shared" si="75"/>
        <v/>
      </c>
      <c r="R496" s="86" t="str">
        <f t="shared" si="76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9"/>
        <v/>
      </c>
      <c r="E497" s="96"/>
      <c r="F497" s="91" t="str">
        <f t="shared" si="70"/>
        <v/>
      </c>
      <c r="G497" s="129"/>
      <c r="H497" s="91" t="str">
        <f t="shared" si="71"/>
        <v/>
      </c>
      <c r="I497" s="91" t="str">
        <f t="shared" si="72"/>
        <v/>
      </c>
      <c r="J497" s="128"/>
      <c r="K497" s="128"/>
      <c r="L497" s="128"/>
      <c r="M497" s="95"/>
      <c r="O497" s="86" t="str">
        <f t="shared" si="73"/>
        <v/>
      </c>
      <c r="P497" s="86" t="str">
        <f t="shared" si="74"/>
        <v/>
      </c>
      <c r="Q497" s="86" t="str">
        <f t="shared" si="75"/>
        <v/>
      </c>
      <c r="R497" s="86" t="str">
        <f t="shared" si="76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9"/>
        <v/>
      </c>
      <c r="E498" s="96"/>
      <c r="F498" s="91" t="str">
        <f t="shared" si="70"/>
        <v/>
      </c>
      <c r="G498" s="129"/>
      <c r="H498" s="91" t="str">
        <f t="shared" si="71"/>
        <v/>
      </c>
      <c r="I498" s="91" t="str">
        <f t="shared" si="72"/>
        <v/>
      </c>
      <c r="J498" s="128"/>
      <c r="K498" s="128"/>
      <c r="L498" s="128"/>
      <c r="M498" s="95"/>
      <c r="O498" s="86" t="str">
        <f t="shared" si="73"/>
        <v/>
      </c>
      <c r="P498" s="86" t="str">
        <f t="shared" si="74"/>
        <v/>
      </c>
      <c r="Q498" s="86" t="str">
        <f t="shared" si="75"/>
        <v/>
      </c>
      <c r="R498" s="86" t="str">
        <f t="shared" si="76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9"/>
        <v/>
      </c>
      <c r="E499" s="96"/>
      <c r="F499" s="91" t="str">
        <f t="shared" si="70"/>
        <v/>
      </c>
      <c r="G499" s="129"/>
      <c r="H499" s="91" t="str">
        <f t="shared" si="71"/>
        <v/>
      </c>
      <c r="I499" s="91" t="str">
        <f t="shared" si="72"/>
        <v/>
      </c>
      <c r="J499" s="128"/>
      <c r="K499" s="128"/>
      <c r="L499" s="128"/>
      <c r="M499" s="95"/>
      <c r="O499" s="86" t="str">
        <f t="shared" si="73"/>
        <v/>
      </c>
      <c r="P499" s="86" t="str">
        <f t="shared" si="74"/>
        <v/>
      </c>
      <c r="Q499" s="86" t="str">
        <f t="shared" si="75"/>
        <v/>
      </c>
      <c r="R499" s="86" t="str">
        <f t="shared" si="76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9"/>
        <v/>
      </c>
      <c r="E500" s="96"/>
      <c r="F500" s="91" t="str">
        <f t="shared" si="70"/>
        <v/>
      </c>
      <c r="G500" s="129"/>
      <c r="H500" s="91" t="str">
        <f t="shared" si="71"/>
        <v/>
      </c>
      <c r="I500" s="91" t="str">
        <f t="shared" si="72"/>
        <v/>
      </c>
      <c r="J500" s="128"/>
      <c r="K500" s="128"/>
      <c r="L500" s="128"/>
      <c r="M500" s="95"/>
      <c r="O500" s="86" t="str">
        <f t="shared" si="73"/>
        <v/>
      </c>
      <c r="P500" s="86" t="str">
        <f t="shared" si="74"/>
        <v/>
      </c>
      <c r="Q500" s="86" t="str">
        <f t="shared" si="75"/>
        <v/>
      </c>
      <c r="R500" s="86" t="str">
        <f t="shared" si="76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9"/>
        <v/>
      </c>
      <c r="E501" s="96"/>
      <c r="F501" s="91" t="str">
        <f t="shared" si="70"/>
        <v/>
      </c>
      <c r="G501" s="129"/>
      <c r="H501" s="91" t="str">
        <f t="shared" si="71"/>
        <v/>
      </c>
      <c r="I501" s="91" t="str">
        <f t="shared" si="72"/>
        <v/>
      </c>
      <c r="J501" s="128"/>
      <c r="K501" s="128"/>
      <c r="L501" s="128"/>
      <c r="M501" s="95"/>
      <c r="O501" s="86" t="str">
        <f t="shared" si="73"/>
        <v/>
      </c>
      <c r="P501" s="86" t="str">
        <f t="shared" si="74"/>
        <v/>
      </c>
      <c r="Q501" s="86" t="str">
        <f t="shared" si="75"/>
        <v/>
      </c>
      <c r="R501" s="86" t="str">
        <f t="shared" si="76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131 J135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100:G501 G3:G98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5" zoomScaleNormal="85" workbookViewId="0">
      <pane ySplit="2" topLeftCell="A57" activePane="bottomLeft" state="frozen"/>
      <selection pane="bottomLeft" activeCell="I9" sqref="I9"/>
    </sheetView>
  </sheetViews>
  <sheetFormatPr defaultColWidth="0" defaultRowHeight="15" zeroHeight="1"/>
  <cols>
    <col min="1" max="1" width="12.85546875" style="86" customWidth="1"/>
    <col min="2" max="2" width="32.140625" style="86" customWidth="1"/>
    <col min="3" max="3" width="11.7109375" style="86" customWidth="1"/>
    <col min="4" max="4" width="25.42578125" style="86" customWidth="1"/>
    <col min="5" max="5" width="16.42578125" style="86" customWidth="1"/>
    <col min="6" max="6" width="30.28515625" style="86" customWidth="1"/>
    <col min="7" max="7" width="6.140625" style="86" bestFit="1" customWidth="1"/>
    <col min="8" max="8" width="16.42578125" style="87" customWidth="1"/>
    <col min="9" max="9" width="15.7109375" style="87" customWidth="1"/>
    <col min="10" max="10" width="15.140625" style="87" customWidth="1"/>
    <col min="11" max="11" width="33.7109375" style="87" customWidth="1"/>
    <col min="12" max="13" width="9.5703125" style="87" customWidth="1"/>
    <col min="14" max="14" width="15.140625" style="87" customWidth="1"/>
    <col min="15" max="15" width="18.28515625" style="87" customWidth="1"/>
    <col min="16" max="16" width="51.7109375" style="87" customWidth="1"/>
    <col min="17" max="17" width="9.140625" style="86" customWidth="1"/>
    <col min="18" max="21" width="9.140625" style="86" hidden="1" customWidth="1"/>
    <col min="22" max="22" width="46.5703125" style="86" hidden="1" customWidth="1"/>
    <col min="23" max="24" width="9.140625" style="86" hidden="1" customWidth="1"/>
    <col min="25" max="25" width="58.85546875" style="86" hidden="1" customWidth="1"/>
    <col min="26" max="29" width="9.140625" style="86" hidden="1" customWidth="1"/>
    <col min="30" max="30" width="14.7109375" style="86" hidden="1" customWidth="1"/>
    <col min="31" max="33" width="0" style="86" hidden="1" customWidth="1"/>
    <col min="34" max="16384" width="9.140625" style="86" hidden="1"/>
  </cols>
  <sheetData>
    <row r="1" spans="1:33" ht="35.25" customHeight="1">
      <c r="A1" s="365" t="s">
        <v>664</v>
      </c>
      <c r="B1" s="365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60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/>
      <c r="B3" s="91" t="str">
        <f t="shared" ref="B3" si="0">IFERROR(VLOOKUP(A3,$U$6:$V$23,2,FALSE),"")</f>
        <v/>
      </c>
      <c r="C3" s="96"/>
      <c r="D3" s="91" t="str">
        <f>IFERROR(VLOOKUP(C3,$X$5:$Z$129,2,FALSE),"")</f>
        <v/>
      </c>
      <c r="E3" s="129"/>
      <c r="F3" s="91" t="str">
        <f>IFERROR(VLOOKUP(E3,$AD$6:$AE$1090,2,FALSE),"")</f>
        <v/>
      </c>
      <c r="G3" s="91" t="str">
        <f>IFERROR(VLOOKUP(E3,$AD$6:$AG$1090,4,FALSE),"")</f>
        <v/>
      </c>
      <c r="H3" s="350"/>
      <c r="I3" s="128"/>
      <c r="J3" s="128"/>
      <c r="K3" s="351"/>
      <c r="L3" s="142"/>
      <c r="M3" s="142"/>
      <c r="N3" s="351"/>
      <c r="O3" s="351"/>
      <c r="P3" s="95"/>
      <c r="R3" s="86" t="str">
        <f>LEFT(C3,3)</f>
        <v/>
      </c>
      <c r="S3" s="86" t="str">
        <f>LEFT(C3,2)</f>
        <v/>
      </c>
      <c r="T3" s="86" t="str">
        <f>MID(G3,2,2)</f>
        <v/>
      </c>
    </row>
    <row r="4" spans="1:33">
      <c r="A4" s="96"/>
      <c r="B4" s="91" t="str">
        <f t="shared" ref="B4:B67" si="1">IFERROR(VLOOKUP(A4,$U$6:$V$23,2,FALSE),"")</f>
        <v/>
      </c>
      <c r="C4" s="96"/>
      <c r="D4" s="91" t="str">
        <f t="shared" ref="D4:D67" si="2">IFERROR(VLOOKUP(C4,$X$5:$Z$129,2,FALSE),"")</f>
        <v/>
      </c>
      <c r="E4" s="129"/>
      <c r="F4" s="91" t="str">
        <f t="shared" ref="F4:F67" si="3">IFERROR(VLOOKUP(E4,$AD$6:$AE$1090,2,FALSE),"")</f>
        <v/>
      </c>
      <c r="G4" s="91" t="str">
        <f t="shared" ref="G4:G67" si="4">IFERROR(VLOOKUP(E4,$AD$6:$AG$1090,4,FALSE),"")</f>
        <v/>
      </c>
      <c r="H4" s="350"/>
      <c r="I4" s="128"/>
      <c r="J4" s="128"/>
      <c r="K4" s="351"/>
      <c r="L4" s="142"/>
      <c r="M4" s="142"/>
      <c r="N4" s="351"/>
      <c r="O4" s="351"/>
      <c r="P4" s="95"/>
      <c r="R4" s="86" t="str">
        <f t="shared" ref="R4:R67" si="5">LEFT(C4,3)</f>
        <v/>
      </c>
      <c r="S4" s="86" t="str">
        <f t="shared" ref="S4:S67" si="6">LEFT(C4,2)</f>
        <v/>
      </c>
      <c r="T4" s="86" t="str">
        <f t="shared" ref="T4:T67" si="7">MID(G4,2,2)</f>
        <v/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351"/>
      <c r="L5" s="142"/>
      <c r="M5" s="142"/>
      <c r="N5" s="351"/>
      <c r="O5" s="351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350"/>
      <c r="I6" s="128"/>
      <c r="J6" s="128"/>
      <c r="K6" s="351"/>
      <c r="L6" s="142"/>
      <c r="M6" s="142"/>
      <c r="N6" s="351"/>
      <c r="O6" s="351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350"/>
      <c r="I7" s="128"/>
      <c r="J7" s="128"/>
      <c r="K7" s="143"/>
      <c r="L7" s="142"/>
      <c r="M7" s="142"/>
      <c r="N7" s="351"/>
      <c r="O7" s="351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143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 ht="213.75">
      <c r="A9" s="96">
        <v>61</v>
      </c>
      <c r="B9" s="91" t="str">
        <f t="shared" si="1"/>
        <v>Donacije</v>
      </c>
      <c r="C9" s="96">
        <v>3111</v>
      </c>
      <c r="D9" s="91" t="str">
        <f t="shared" si="2"/>
        <v>Plaće za redovan rad</v>
      </c>
      <c r="E9" s="129" t="s">
        <v>2019</v>
      </c>
      <c r="F9" s="91" t="str">
        <f t="shared" si="3"/>
        <v>IRI PROJEKT - AGROSIMPA</v>
      </c>
      <c r="G9" s="91" t="str">
        <f t="shared" si="4"/>
        <v>0942</v>
      </c>
      <c r="H9" s="350">
        <v>11187</v>
      </c>
      <c r="I9" s="350">
        <v>0</v>
      </c>
      <c r="J9" s="350">
        <v>0</v>
      </c>
      <c r="K9" s="351" t="s">
        <v>5279</v>
      </c>
      <c r="L9" s="142" t="s">
        <v>5280</v>
      </c>
      <c r="M9" s="142" t="s">
        <v>5281</v>
      </c>
      <c r="N9" s="351" t="s">
        <v>5282</v>
      </c>
      <c r="O9" s="351" t="s">
        <v>5283</v>
      </c>
      <c r="P9" s="95"/>
      <c r="R9" s="86" t="str">
        <f t="shared" si="5"/>
        <v>311</v>
      </c>
      <c r="S9" s="86" t="str">
        <f t="shared" si="6"/>
        <v>31</v>
      </c>
      <c r="T9" s="86" t="str">
        <f t="shared" si="7"/>
        <v>94</v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 ht="45">
      <c r="A10" s="96">
        <v>61</v>
      </c>
      <c r="B10" s="91" t="str">
        <f t="shared" si="1"/>
        <v>Donacije</v>
      </c>
      <c r="C10" s="96">
        <v>3132</v>
      </c>
      <c r="D10" s="91" t="str">
        <f t="shared" si="2"/>
        <v>Doprinosi za obvezno zdravstveno osiguranje</v>
      </c>
      <c r="E10" s="129" t="s">
        <v>2019</v>
      </c>
      <c r="F10" s="91" t="str">
        <f t="shared" si="3"/>
        <v>IRI PROJEKT - AGROSIMPA</v>
      </c>
      <c r="G10" s="91" t="str">
        <f t="shared" si="4"/>
        <v>0942</v>
      </c>
      <c r="H10" s="350">
        <v>1846</v>
      </c>
      <c r="I10" s="350">
        <v>0</v>
      </c>
      <c r="J10" s="350">
        <v>0</v>
      </c>
      <c r="K10" s="351" t="s">
        <v>5279</v>
      </c>
      <c r="L10" s="142" t="s">
        <v>5280</v>
      </c>
      <c r="M10" s="142" t="s">
        <v>5281</v>
      </c>
      <c r="N10" s="351" t="s">
        <v>5282</v>
      </c>
      <c r="O10" s="143" t="s">
        <v>5284</v>
      </c>
      <c r="P10" s="95"/>
      <c r="R10" s="86" t="str">
        <f t="shared" si="5"/>
        <v>313</v>
      </c>
      <c r="S10" s="86" t="str">
        <f t="shared" si="6"/>
        <v>31</v>
      </c>
      <c r="T10" s="86" t="str">
        <f t="shared" si="7"/>
        <v>94</v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 ht="45">
      <c r="A11" s="96">
        <v>61</v>
      </c>
      <c r="B11" s="91" t="str">
        <f t="shared" si="1"/>
        <v>Donacije</v>
      </c>
      <c r="C11" s="96">
        <v>3211</v>
      </c>
      <c r="D11" s="91" t="str">
        <f t="shared" si="2"/>
        <v>Službena putovanja</v>
      </c>
      <c r="E11" s="129" t="s">
        <v>2019</v>
      </c>
      <c r="F11" s="91" t="str">
        <f t="shared" si="3"/>
        <v>IRI PROJEKT - AGROSIMPA</v>
      </c>
      <c r="G11" s="91" t="str">
        <f t="shared" si="4"/>
        <v>0942</v>
      </c>
      <c r="H11" s="350">
        <v>3982</v>
      </c>
      <c r="I11" s="350">
        <v>0</v>
      </c>
      <c r="J11" s="350">
        <v>0</v>
      </c>
      <c r="K11" s="351" t="s">
        <v>5279</v>
      </c>
      <c r="L11" s="142" t="s">
        <v>5280</v>
      </c>
      <c r="M11" s="142" t="s">
        <v>5281</v>
      </c>
      <c r="N11" s="351" t="s">
        <v>5282</v>
      </c>
      <c r="O11" s="143" t="s">
        <v>5284</v>
      </c>
      <c r="P11" s="95"/>
      <c r="R11" s="86" t="str">
        <f t="shared" si="5"/>
        <v>321</v>
      </c>
      <c r="S11" s="86" t="str">
        <f t="shared" si="6"/>
        <v>32</v>
      </c>
      <c r="T11" s="86" t="str">
        <f t="shared" si="7"/>
        <v>94</v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 ht="45">
      <c r="A12" s="96">
        <v>61</v>
      </c>
      <c r="B12" s="91" t="str">
        <f t="shared" si="1"/>
        <v>Donacije</v>
      </c>
      <c r="C12" s="96">
        <v>3239</v>
      </c>
      <c r="D12" s="91" t="str">
        <f t="shared" si="2"/>
        <v>Ostale usluge</v>
      </c>
      <c r="E12" s="129" t="s">
        <v>2019</v>
      </c>
      <c r="F12" s="91" t="str">
        <f t="shared" si="3"/>
        <v>IRI PROJEKT - AGROSIMPA</v>
      </c>
      <c r="G12" s="91" t="str">
        <f t="shared" si="4"/>
        <v>0942</v>
      </c>
      <c r="H12" s="350">
        <v>6636</v>
      </c>
      <c r="I12" s="350">
        <v>0</v>
      </c>
      <c r="J12" s="350">
        <v>0</v>
      </c>
      <c r="K12" s="351" t="s">
        <v>5285</v>
      </c>
      <c r="L12" s="142" t="s">
        <v>5280</v>
      </c>
      <c r="M12" s="142" t="s">
        <v>5281</v>
      </c>
      <c r="N12" s="351" t="s">
        <v>5282</v>
      </c>
      <c r="O12" s="143" t="s">
        <v>5284</v>
      </c>
      <c r="P12" s="95"/>
      <c r="R12" s="86" t="str">
        <f t="shared" si="5"/>
        <v>323</v>
      </c>
      <c r="S12" s="86" t="str">
        <f t="shared" si="6"/>
        <v>32</v>
      </c>
      <c r="T12" s="86" t="str">
        <f t="shared" si="7"/>
        <v>94</v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 ht="45">
      <c r="A13" s="96">
        <v>61</v>
      </c>
      <c r="B13" s="91" t="str">
        <f t="shared" si="1"/>
        <v>Donacije</v>
      </c>
      <c r="C13" s="96">
        <v>3222</v>
      </c>
      <c r="D13" s="91" t="str">
        <f t="shared" si="2"/>
        <v>Materijal i sirovine</v>
      </c>
      <c r="E13" s="129" t="s">
        <v>2019</v>
      </c>
      <c r="F13" s="91" t="str">
        <f t="shared" si="3"/>
        <v>IRI PROJEKT - AGROSIMPA</v>
      </c>
      <c r="G13" s="91" t="str">
        <f t="shared" si="4"/>
        <v>0942</v>
      </c>
      <c r="H13" s="350">
        <v>1327</v>
      </c>
      <c r="I13" s="350">
        <v>0</v>
      </c>
      <c r="J13" s="350">
        <v>0</v>
      </c>
      <c r="K13" s="351" t="s">
        <v>5285</v>
      </c>
      <c r="L13" s="142" t="s">
        <v>5280</v>
      </c>
      <c r="M13" s="142" t="s">
        <v>5281</v>
      </c>
      <c r="N13" s="351" t="s">
        <v>5282</v>
      </c>
      <c r="O13" s="143" t="s">
        <v>5284</v>
      </c>
      <c r="P13" s="95"/>
      <c r="R13" s="86" t="str">
        <f t="shared" si="5"/>
        <v>322</v>
      </c>
      <c r="S13" s="86" t="str">
        <f t="shared" si="6"/>
        <v>32</v>
      </c>
      <c r="T13" s="86" t="str">
        <f t="shared" si="7"/>
        <v>94</v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 ht="45">
      <c r="A14" s="96">
        <v>61</v>
      </c>
      <c r="B14" s="91" t="str">
        <f t="shared" si="1"/>
        <v>Donacije</v>
      </c>
      <c r="C14" s="96">
        <v>3221</v>
      </c>
      <c r="D14" s="91" t="str">
        <f t="shared" si="2"/>
        <v>Uredski materijal i ostali materijalni rashodi</v>
      </c>
      <c r="E14" s="129" t="s">
        <v>2019</v>
      </c>
      <c r="F14" s="91" t="str">
        <f t="shared" si="3"/>
        <v>IRI PROJEKT - AGROSIMPA</v>
      </c>
      <c r="G14" s="91" t="str">
        <f t="shared" si="4"/>
        <v>0942</v>
      </c>
      <c r="H14" s="350">
        <v>2920</v>
      </c>
      <c r="I14" s="350">
        <v>0</v>
      </c>
      <c r="J14" s="350">
        <v>0</v>
      </c>
      <c r="K14" s="351" t="s">
        <v>5279</v>
      </c>
      <c r="L14" s="142" t="s">
        <v>5280</v>
      </c>
      <c r="M14" s="142" t="s">
        <v>5281</v>
      </c>
      <c r="N14" s="351" t="s">
        <v>5282</v>
      </c>
      <c r="O14" s="143" t="s">
        <v>5284</v>
      </c>
      <c r="P14" s="95"/>
      <c r="R14" s="86" t="str">
        <f t="shared" si="5"/>
        <v>322</v>
      </c>
      <c r="S14" s="86" t="str">
        <f t="shared" si="6"/>
        <v>32</v>
      </c>
      <c r="T14" s="86" t="str">
        <f t="shared" si="7"/>
        <v>94</v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 ht="45">
      <c r="A15" s="96">
        <v>61</v>
      </c>
      <c r="B15" s="91" t="str">
        <f t="shared" si="1"/>
        <v>Donacije</v>
      </c>
      <c r="C15" s="96">
        <v>4224</v>
      </c>
      <c r="D15" s="91" t="str">
        <f t="shared" si="2"/>
        <v>Medicinska i laboratorijska oprema</v>
      </c>
      <c r="E15" s="129" t="s">
        <v>2019</v>
      </c>
      <c r="F15" s="91" t="str">
        <f t="shared" si="3"/>
        <v>IRI PROJEKT - AGROSIMPA</v>
      </c>
      <c r="G15" s="91" t="str">
        <f t="shared" si="4"/>
        <v>0942</v>
      </c>
      <c r="H15" s="350">
        <v>1752</v>
      </c>
      <c r="I15" s="350">
        <v>0</v>
      </c>
      <c r="J15" s="350">
        <v>0</v>
      </c>
      <c r="K15" s="351" t="s">
        <v>5279</v>
      </c>
      <c r="L15" s="142" t="s">
        <v>5280</v>
      </c>
      <c r="M15" s="142" t="s">
        <v>5281</v>
      </c>
      <c r="N15" s="351" t="s">
        <v>5282</v>
      </c>
      <c r="O15" s="143" t="s">
        <v>5284</v>
      </c>
      <c r="P15" s="95"/>
      <c r="R15" s="86" t="str">
        <f t="shared" si="5"/>
        <v>422</v>
      </c>
      <c r="S15" s="86" t="str">
        <f t="shared" si="6"/>
        <v>42</v>
      </c>
      <c r="T15" s="86" t="str">
        <f t="shared" si="7"/>
        <v>94</v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143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 ht="101.25">
      <c r="A17" s="96">
        <v>52</v>
      </c>
      <c r="B17" s="91" t="str">
        <f t="shared" si="1"/>
        <v>Ostale pomoći</v>
      </c>
      <c r="C17" s="96">
        <v>3111</v>
      </c>
      <c r="D17" s="91" t="str">
        <f t="shared" si="2"/>
        <v>Plaće za redovan rad</v>
      </c>
      <c r="E17" s="129" t="s">
        <v>699</v>
      </c>
      <c r="F17" s="91" t="str">
        <f t="shared" si="3"/>
        <v>NOVI PODPROJEKT</v>
      </c>
      <c r="G17" s="91" t="str">
        <f t="shared" si="4"/>
        <v>NOVI PODPROJEKT</v>
      </c>
      <c r="H17" s="128">
        <v>47448</v>
      </c>
      <c r="I17" s="128">
        <v>0</v>
      </c>
      <c r="J17" s="128">
        <v>0</v>
      </c>
      <c r="K17" s="351" t="s">
        <v>5286</v>
      </c>
      <c r="L17" s="142">
        <v>42916</v>
      </c>
      <c r="M17" s="142">
        <v>45107</v>
      </c>
      <c r="N17" s="351" t="s">
        <v>5287</v>
      </c>
      <c r="O17" s="351" t="s">
        <v>5288</v>
      </c>
      <c r="P17" s="95"/>
      <c r="R17" s="86" t="str">
        <f t="shared" si="5"/>
        <v>311</v>
      </c>
      <c r="S17" s="86" t="str">
        <f t="shared" si="6"/>
        <v>31</v>
      </c>
      <c r="T17" s="86" t="str">
        <f t="shared" si="7"/>
        <v>OV</v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 ht="101.25">
      <c r="A18" s="96">
        <v>52</v>
      </c>
      <c r="B18" s="91" t="str">
        <f t="shared" si="1"/>
        <v>Ostale pomoći</v>
      </c>
      <c r="C18" s="96">
        <v>3211</v>
      </c>
      <c r="D18" s="91" t="str">
        <f t="shared" si="2"/>
        <v>Službena putovanja</v>
      </c>
      <c r="E18" s="129" t="s">
        <v>699</v>
      </c>
      <c r="F18" s="91" t="str">
        <f t="shared" si="3"/>
        <v>NOVI PODPROJEKT</v>
      </c>
      <c r="G18" s="91" t="str">
        <f t="shared" si="4"/>
        <v>NOVI PODPROJEKT</v>
      </c>
      <c r="H18" s="128">
        <v>30165</v>
      </c>
      <c r="I18" s="128">
        <v>0</v>
      </c>
      <c r="J18" s="128">
        <v>0</v>
      </c>
      <c r="K18" s="351" t="s">
        <v>5286</v>
      </c>
      <c r="L18" s="142">
        <v>42916</v>
      </c>
      <c r="M18" s="142">
        <v>45107</v>
      </c>
      <c r="N18" s="351" t="s">
        <v>5287</v>
      </c>
      <c r="O18" s="351" t="s">
        <v>5288</v>
      </c>
      <c r="P18" s="95"/>
      <c r="R18" s="86" t="str">
        <f t="shared" si="5"/>
        <v>321</v>
      </c>
      <c r="S18" s="86" t="str">
        <f t="shared" si="6"/>
        <v>32</v>
      </c>
      <c r="T18" s="86" t="str">
        <f t="shared" si="7"/>
        <v>OV</v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 ht="101.25">
      <c r="A19" s="96">
        <v>52</v>
      </c>
      <c r="B19" s="91" t="str">
        <f t="shared" si="1"/>
        <v>Ostale pomoći</v>
      </c>
      <c r="C19" s="96">
        <v>3213</v>
      </c>
      <c r="D19" s="91" t="str">
        <f t="shared" si="2"/>
        <v>Stručno usavršavanje zaposlenika</v>
      </c>
      <c r="E19" s="129" t="s">
        <v>699</v>
      </c>
      <c r="F19" s="91" t="str">
        <f t="shared" si="3"/>
        <v>NOVI PODPROJEKT</v>
      </c>
      <c r="G19" s="91" t="str">
        <f t="shared" si="4"/>
        <v>NOVI PODPROJEKT</v>
      </c>
      <c r="H19" s="128">
        <v>10454</v>
      </c>
      <c r="I19" s="128">
        <v>0</v>
      </c>
      <c r="J19" s="128">
        <v>0</v>
      </c>
      <c r="K19" s="351" t="s">
        <v>5286</v>
      </c>
      <c r="L19" s="142">
        <v>42916</v>
      </c>
      <c r="M19" s="142">
        <v>45107</v>
      </c>
      <c r="N19" s="351" t="s">
        <v>5287</v>
      </c>
      <c r="O19" s="351" t="s">
        <v>5288</v>
      </c>
      <c r="P19" s="95"/>
      <c r="R19" s="86" t="str">
        <f t="shared" si="5"/>
        <v>321</v>
      </c>
      <c r="S19" s="86" t="str">
        <f t="shared" si="6"/>
        <v>32</v>
      </c>
      <c r="T19" s="86" t="str">
        <f t="shared" si="7"/>
        <v>OV</v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 ht="101.25">
      <c r="A20" s="96">
        <v>52</v>
      </c>
      <c r="B20" s="91" t="str">
        <f t="shared" si="1"/>
        <v>Ostale pomoći</v>
      </c>
      <c r="C20" s="96">
        <v>3237</v>
      </c>
      <c r="D20" s="91" t="str">
        <f t="shared" si="2"/>
        <v>Intelektualne i osobne usluge</v>
      </c>
      <c r="E20" s="129" t="s">
        <v>699</v>
      </c>
      <c r="F20" s="91" t="str">
        <f t="shared" si="3"/>
        <v>NOVI PODPROJEKT</v>
      </c>
      <c r="G20" s="91" t="str">
        <f t="shared" si="4"/>
        <v>NOVI PODPROJEKT</v>
      </c>
      <c r="H20" s="128">
        <v>10158</v>
      </c>
      <c r="I20" s="128">
        <v>0</v>
      </c>
      <c r="J20" s="128">
        <v>0</v>
      </c>
      <c r="K20" s="351" t="s">
        <v>5286</v>
      </c>
      <c r="L20" s="142">
        <v>42916</v>
      </c>
      <c r="M20" s="142">
        <v>45107</v>
      </c>
      <c r="N20" s="351" t="s">
        <v>5287</v>
      </c>
      <c r="O20" s="351" t="s">
        <v>5288</v>
      </c>
      <c r="P20" s="95"/>
      <c r="R20" s="86" t="str">
        <f t="shared" si="5"/>
        <v>323</v>
      </c>
      <c r="S20" s="86" t="str">
        <f t="shared" si="6"/>
        <v>32</v>
      </c>
      <c r="T20" s="86" t="str">
        <f t="shared" si="7"/>
        <v>OV</v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 ht="101.25">
      <c r="A21" s="96">
        <v>52</v>
      </c>
      <c r="B21" s="91" t="str">
        <f t="shared" si="1"/>
        <v>Ostale pomoći</v>
      </c>
      <c r="C21" s="96">
        <v>3237</v>
      </c>
      <c r="D21" s="91" t="str">
        <f t="shared" si="2"/>
        <v>Intelektualne i osobne usluge</v>
      </c>
      <c r="E21" s="129" t="s">
        <v>699</v>
      </c>
      <c r="F21" s="91" t="str">
        <f t="shared" si="3"/>
        <v>NOVI PODPROJEKT</v>
      </c>
      <c r="G21" s="91" t="str">
        <f t="shared" si="4"/>
        <v>NOVI PODPROJEKT</v>
      </c>
      <c r="H21" s="128">
        <v>114131</v>
      </c>
      <c r="I21" s="128">
        <v>0</v>
      </c>
      <c r="J21" s="128">
        <v>0</v>
      </c>
      <c r="K21" s="351" t="s">
        <v>5286</v>
      </c>
      <c r="L21" s="142">
        <v>42916</v>
      </c>
      <c r="M21" s="142">
        <v>45107</v>
      </c>
      <c r="N21" s="351" t="s">
        <v>5287</v>
      </c>
      <c r="O21" s="351" t="s">
        <v>5288</v>
      </c>
      <c r="P21" s="95"/>
      <c r="R21" s="86" t="str">
        <f t="shared" si="5"/>
        <v>323</v>
      </c>
      <c r="S21" s="86" t="str">
        <f t="shared" si="6"/>
        <v>32</v>
      </c>
      <c r="T21" s="86" t="str">
        <f t="shared" si="7"/>
        <v>OV</v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351"/>
      <c r="L22" s="142"/>
      <c r="M22" s="142"/>
      <c r="N22" s="351"/>
      <c r="O22" s="143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351"/>
      <c r="L23" s="142"/>
      <c r="M23" s="142"/>
      <c r="N23" s="351"/>
      <c r="O23" s="351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351"/>
      <c r="L24" s="142"/>
      <c r="M24" s="142"/>
      <c r="N24" s="351"/>
      <c r="O24" s="143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 ht="112.5">
      <c r="A25" s="96">
        <v>52</v>
      </c>
      <c r="B25" s="91" t="str">
        <f t="shared" si="1"/>
        <v>Ostale pomoći</v>
      </c>
      <c r="C25" s="96">
        <v>3111</v>
      </c>
      <c r="D25" s="91" t="str">
        <f t="shared" si="2"/>
        <v>Plaće za redovan rad</v>
      </c>
      <c r="E25" s="129" t="s">
        <v>2023</v>
      </c>
      <c r="F25" s="91" t="str">
        <f t="shared" si="3"/>
        <v>APPLERESIST</v>
      </c>
      <c r="G25" s="91" t="str">
        <f t="shared" si="4"/>
        <v>0942</v>
      </c>
      <c r="H25" s="128">
        <v>5889</v>
      </c>
      <c r="I25" s="128"/>
      <c r="J25" s="128">
        <v>0</v>
      </c>
      <c r="K25" s="143" t="s">
        <v>5289</v>
      </c>
      <c r="L25" s="142" t="s">
        <v>5290</v>
      </c>
      <c r="M25" s="142" t="s">
        <v>5291</v>
      </c>
      <c r="N25" s="351" t="s">
        <v>5292</v>
      </c>
      <c r="O25" s="351" t="s">
        <v>5293</v>
      </c>
      <c r="P25" s="95"/>
      <c r="R25" s="86" t="str">
        <f t="shared" si="5"/>
        <v>311</v>
      </c>
      <c r="S25" s="86" t="str">
        <f t="shared" si="6"/>
        <v>31</v>
      </c>
      <c r="T25" s="86" t="str">
        <f t="shared" si="7"/>
        <v>94</v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 ht="33.75">
      <c r="A26" s="96">
        <v>52</v>
      </c>
      <c r="B26" s="91" t="str">
        <f t="shared" si="1"/>
        <v>Ostale pomoći</v>
      </c>
      <c r="C26" s="96">
        <v>3211</v>
      </c>
      <c r="D26" s="91" t="str">
        <f t="shared" si="2"/>
        <v>Službena putovanja</v>
      </c>
      <c r="E26" s="129" t="s">
        <v>2023</v>
      </c>
      <c r="F26" s="91" t="str">
        <f t="shared" si="3"/>
        <v>APPLERESIST</v>
      </c>
      <c r="G26" s="91" t="str">
        <f t="shared" si="4"/>
        <v>0942</v>
      </c>
      <c r="H26" s="128">
        <v>3725</v>
      </c>
      <c r="I26" s="128"/>
      <c r="J26" s="128">
        <v>0</v>
      </c>
      <c r="K26" s="143" t="s">
        <v>5289</v>
      </c>
      <c r="L26" s="142" t="s">
        <v>5290</v>
      </c>
      <c r="M26" s="142" t="s">
        <v>5291</v>
      </c>
      <c r="N26" s="351" t="s">
        <v>5292</v>
      </c>
      <c r="O26" s="351"/>
      <c r="P26" s="95"/>
      <c r="R26" s="86" t="str">
        <f t="shared" si="5"/>
        <v>321</v>
      </c>
      <c r="S26" s="86" t="str">
        <f t="shared" si="6"/>
        <v>32</v>
      </c>
      <c r="T26" s="86" t="str">
        <f t="shared" si="7"/>
        <v>94</v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 ht="33.75">
      <c r="A27" s="96">
        <v>52</v>
      </c>
      <c r="B27" s="91" t="str">
        <f t="shared" si="1"/>
        <v>Ostale pomoći</v>
      </c>
      <c r="C27" s="96">
        <v>3237</v>
      </c>
      <c r="D27" s="91" t="str">
        <f t="shared" si="2"/>
        <v>Intelektualne i osobne usluge</v>
      </c>
      <c r="E27" s="129" t="s">
        <v>2023</v>
      </c>
      <c r="F27" s="91" t="str">
        <f t="shared" si="3"/>
        <v>APPLERESIST</v>
      </c>
      <c r="G27" s="91" t="str">
        <f t="shared" si="4"/>
        <v>0942</v>
      </c>
      <c r="H27" s="128">
        <v>1458</v>
      </c>
      <c r="I27" s="128"/>
      <c r="J27" s="128"/>
      <c r="K27" s="143" t="s">
        <v>5289</v>
      </c>
      <c r="L27" s="142" t="s">
        <v>5290</v>
      </c>
      <c r="M27" s="142" t="s">
        <v>5291</v>
      </c>
      <c r="N27" s="351" t="s">
        <v>5292</v>
      </c>
      <c r="O27" s="351"/>
      <c r="P27" s="95"/>
      <c r="R27" s="86" t="str">
        <f t="shared" si="5"/>
        <v>323</v>
      </c>
      <c r="S27" s="86" t="str">
        <f t="shared" si="6"/>
        <v>32</v>
      </c>
      <c r="T27" s="86" t="str">
        <f t="shared" si="7"/>
        <v>94</v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 ht="33.75">
      <c r="A28" s="96">
        <v>52</v>
      </c>
      <c r="B28" s="91" t="str">
        <f t="shared" si="1"/>
        <v>Ostale pomoći</v>
      </c>
      <c r="C28" s="96">
        <v>3239</v>
      </c>
      <c r="D28" s="91" t="str">
        <f t="shared" si="2"/>
        <v>Ostale usluge</v>
      </c>
      <c r="E28" s="129" t="s">
        <v>2023</v>
      </c>
      <c r="F28" s="91" t="str">
        <f t="shared" si="3"/>
        <v>APPLERESIST</v>
      </c>
      <c r="G28" s="91" t="str">
        <f t="shared" si="4"/>
        <v>0942</v>
      </c>
      <c r="H28" s="128">
        <v>3716</v>
      </c>
      <c r="I28" s="128"/>
      <c r="J28" s="128"/>
      <c r="K28" s="143" t="s">
        <v>5289</v>
      </c>
      <c r="L28" s="142" t="s">
        <v>5290</v>
      </c>
      <c r="M28" s="142" t="s">
        <v>5291</v>
      </c>
      <c r="N28" s="351" t="s">
        <v>5292</v>
      </c>
      <c r="O28" s="351"/>
      <c r="P28" s="95"/>
      <c r="R28" s="86" t="str">
        <f t="shared" si="5"/>
        <v>323</v>
      </c>
      <c r="S28" s="86" t="str">
        <f t="shared" si="6"/>
        <v>32</v>
      </c>
      <c r="T28" s="86" t="str">
        <f t="shared" si="7"/>
        <v>94</v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 ht="33.75">
      <c r="A29" s="96">
        <v>52</v>
      </c>
      <c r="B29" s="91" t="str">
        <f t="shared" si="1"/>
        <v>Ostale pomoći</v>
      </c>
      <c r="C29" s="96">
        <v>4224</v>
      </c>
      <c r="D29" s="91" t="str">
        <f t="shared" si="2"/>
        <v>Medicinska i laboratorijska oprema</v>
      </c>
      <c r="E29" s="129" t="s">
        <v>2023</v>
      </c>
      <c r="F29" s="91" t="str">
        <f t="shared" si="3"/>
        <v>APPLERESIST</v>
      </c>
      <c r="G29" s="91" t="str">
        <f t="shared" si="4"/>
        <v>0942</v>
      </c>
      <c r="H29" s="128">
        <v>10785</v>
      </c>
      <c r="I29" s="128"/>
      <c r="J29" s="128"/>
      <c r="K29" s="143" t="s">
        <v>5289</v>
      </c>
      <c r="L29" s="142" t="s">
        <v>5290</v>
      </c>
      <c r="M29" s="142" t="s">
        <v>5291</v>
      </c>
      <c r="N29" s="351" t="s">
        <v>5292</v>
      </c>
      <c r="O29" s="351"/>
      <c r="P29" s="95"/>
      <c r="R29" s="86" t="str">
        <f t="shared" si="5"/>
        <v>422</v>
      </c>
      <c r="S29" s="86" t="str">
        <f t="shared" si="6"/>
        <v>42</v>
      </c>
      <c r="T29" s="86" t="str">
        <f t="shared" si="7"/>
        <v>94</v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 ht="33.75">
      <c r="A30" s="96">
        <v>52</v>
      </c>
      <c r="B30" s="91" t="str">
        <f t="shared" si="1"/>
        <v>Ostale pomoći</v>
      </c>
      <c r="C30" s="96">
        <v>3132</v>
      </c>
      <c r="D30" s="91" t="str">
        <f t="shared" si="2"/>
        <v>Doprinosi za obvezno zdravstveno osiguranje</v>
      </c>
      <c r="E30" s="129" t="s">
        <v>2023</v>
      </c>
      <c r="F30" s="91" t="str">
        <f t="shared" si="3"/>
        <v>APPLERESIST</v>
      </c>
      <c r="G30" s="91" t="str">
        <f t="shared" si="4"/>
        <v>0942</v>
      </c>
      <c r="H30" s="128">
        <v>972</v>
      </c>
      <c r="I30" s="128"/>
      <c r="J30" s="128"/>
      <c r="K30" s="143" t="s">
        <v>5289</v>
      </c>
      <c r="L30" s="142" t="s">
        <v>5290</v>
      </c>
      <c r="M30" s="142" t="s">
        <v>5291</v>
      </c>
      <c r="N30" s="351" t="s">
        <v>5292</v>
      </c>
      <c r="O30" s="351"/>
      <c r="P30" s="95"/>
      <c r="R30" s="86" t="str">
        <f t="shared" si="5"/>
        <v>313</v>
      </c>
      <c r="S30" s="86" t="str">
        <f t="shared" si="6"/>
        <v>31</v>
      </c>
      <c r="T30" s="86" t="str">
        <f t="shared" si="7"/>
        <v>94</v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143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351"/>
      <c r="O32" s="351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143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 ht="45">
      <c r="A34" s="96">
        <v>52</v>
      </c>
      <c r="B34" s="91" t="str">
        <f t="shared" si="1"/>
        <v>Ostale pomoći</v>
      </c>
      <c r="C34" s="96">
        <v>3111</v>
      </c>
      <c r="D34" s="91" t="str">
        <f t="shared" si="2"/>
        <v>Plaće za redovan rad</v>
      </c>
      <c r="E34" s="129" t="s">
        <v>2027</v>
      </c>
      <c r="F34" s="91" t="str">
        <f t="shared" si="3"/>
        <v>AGROEKOTEH HAPIH</v>
      </c>
      <c r="G34" s="91" t="str">
        <f t="shared" si="4"/>
        <v>0942</v>
      </c>
      <c r="H34" s="128">
        <v>9735</v>
      </c>
      <c r="I34" s="128"/>
      <c r="J34" s="128">
        <v>0</v>
      </c>
      <c r="K34" s="143" t="s">
        <v>5294</v>
      </c>
      <c r="L34" s="142" t="s">
        <v>5295</v>
      </c>
      <c r="M34" s="142" t="s">
        <v>5296</v>
      </c>
      <c r="N34" s="351" t="s">
        <v>5297</v>
      </c>
      <c r="O34" s="351" t="s">
        <v>5298</v>
      </c>
      <c r="P34" s="95"/>
      <c r="R34" s="86" t="str">
        <f t="shared" si="5"/>
        <v>311</v>
      </c>
      <c r="S34" s="86" t="str">
        <f t="shared" si="6"/>
        <v>31</v>
      </c>
      <c r="T34" s="86" t="str">
        <f t="shared" si="7"/>
        <v>94</v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 ht="45">
      <c r="A35" s="96">
        <v>52</v>
      </c>
      <c r="B35" s="91" t="str">
        <f t="shared" si="1"/>
        <v>Ostale pomoći</v>
      </c>
      <c r="C35" s="96">
        <v>3211</v>
      </c>
      <c r="D35" s="91" t="str">
        <f t="shared" si="2"/>
        <v>Službena putovanja</v>
      </c>
      <c r="E35" s="129" t="s">
        <v>2027</v>
      </c>
      <c r="F35" s="91" t="str">
        <f t="shared" si="3"/>
        <v>AGROEKOTEH HAPIH</v>
      </c>
      <c r="G35" s="91" t="str">
        <f t="shared" si="4"/>
        <v>0942</v>
      </c>
      <c r="H35" s="128">
        <v>3569</v>
      </c>
      <c r="I35" s="128"/>
      <c r="J35" s="128">
        <v>0</v>
      </c>
      <c r="K35" s="143" t="s">
        <v>5294</v>
      </c>
      <c r="L35" s="142" t="s">
        <v>5295</v>
      </c>
      <c r="M35" s="142" t="s">
        <v>5296</v>
      </c>
      <c r="N35" s="351" t="s">
        <v>5297</v>
      </c>
      <c r="O35" s="351" t="s">
        <v>5298</v>
      </c>
      <c r="P35" s="95"/>
      <c r="R35" s="86" t="str">
        <f t="shared" si="5"/>
        <v>321</v>
      </c>
      <c r="S35" s="86" t="str">
        <f t="shared" si="6"/>
        <v>32</v>
      </c>
      <c r="T35" s="86" t="str">
        <f t="shared" si="7"/>
        <v>94</v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 ht="45">
      <c r="A36" s="96">
        <v>52</v>
      </c>
      <c r="B36" s="91" t="str">
        <f t="shared" si="1"/>
        <v>Ostale pomoći</v>
      </c>
      <c r="C36" s="96">
        <v>3213</v>
      </c>
      <c r="D36" s="91" t="str">
        <f t="shared" si="2"/>
        <v>Stručno usavršavanje zaposlenika</v>
      </c>
      <c r="E36" s="129" t="s">
        <v>2027</v>
      </c>
      <c r="F36" s="91" t="str">
        <f t="shared" si="3"/>
        <v>AGROEKOTEH HAPIH</v>
      </c>
      <c r="G36" s="91" t="str">
        <f t="shared" si="4"/>
        <v>0942</v>
      </c>
      <c r="H36" s="128">
        <v>1327</v>
      </c>
      <c r="I36" s="128"/>
      <c r="J36" s="128">
        <v>0</v>
      </c>
      <c r="K36" s="143" t="s">
        <v>5294</v>
      </c>
      <c r="L36" s="142" t="s">
        <v>5295</v>
      </c>
      <c r="M36" s="142" t="s">
        <v>5296</v>
      </c>
      <c r="N36" s="351" t="s">
        <v>5297</v>
      </c>
      <c r="O36" s="351" t="s">
        <v>5298</v>
      </c>
      <c r="P36" s="95"/>
      <c r="R36" s="86" t="str">
        <f t="shared" si="5"/>
        <v>321</v>
      </c>
      <c r="S36" s="86" t="str">
        <f t="shared" si="6"/>
        <v>32</v>
      </c>
      <c r="T36" s="86" t="str">
        <f t="shared" si="7"/>
        <v>94</v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 ht="45">
      <c r="A37" s="96">
        <v>52</v>
      </c>
      <c r="B37" s="91" t="str">
        <f t="shared" si="1"/>
        <v>Ostale pomoći</v>
      </c>
      <c r="C37" s="96">
        <v>3239</v>
      </c>
      <c r="D37" s="91" t="str">
        <f t="shared" si="2"/>
        <v>Ostale usluge</v>
      </c>
      <c r="E37" s="129" t="s">
        <v>2027</v>
      </c>
      <c r="F37" s="91" t="str">
        <f t="shared" si="3"/>
        <v>AGROEKOTEH HAPIH</v>
      </c>
      <c r="G37" s="91" t="str">
        <f t="shared" si="4"/>
        <v>0942</v>
      </c>
      <c r="H37" s="128">
        <v>5277</v>
      </c>
      <c r="I37" s="128">
        <v>0</v>
      </c>
      <c r="J37" s="128">
        <v>0</v>
      </c>
      <c r="K37" s="143" t="s">
        <v>5294</v>
      </c>
      <c r="L37" s="142" t="s">
        <v>5295</v>
      </c>
      <c r="M37" s="142" t="s">
        <v>5296</v>
      </c>
      <c r="N37" s="351" t="s">
        <v>5297</v>
      </c>
      <c r="O37" s="351" t="s">
        <v>5298</v>
      </c>
      <c r="P37" s="95"/>
      <c r="R37" s="86" t="str">
        <f t="shared" si="5"/>
        <v>323</v>
      </c>
      <c r="S37" s="86" t="str">
        <f t="shared" si="6"/>
        <v>32</v>
      </c>
      <c r="T37" s="86" t="str">
        <f t="shared" si="7"/>
        <v>94</v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143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351"/>
      <c r="O39" s="351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 ht="337.5">
      <c r="A40" s="96">
        <v>51</v>
      </c>
      <c r="B40" s="91" t="str">
        <f t="shared" si="1"/>
        <v>Pomoći EU</v>
      </c>
      <c r="C40" s="96">
        <v>3211</v>
      </c>
      <c r="D40" s="91" t="str">
        <f t="shared" si="2"/>
        <v>Službena putovanja</v>
      </c>
      <c r="E40" s="129"/>
      <c r="F40" s="91" t="str">
        <f t="shared" si="3"/>
        <v/>
      </c>
      <c r="G40" s="91" t="str">
        <f t="shared" si="4"/>
        <v/>
      </c>
      <c r="H40" s="128">
        <v>5937</v>
      </c>
      <c r="I40" s="128">
        <v>5937</v>
      </c>
      <c r="J40" s="128"/>
      <c r="K40" s="143" t="s">
        <v>5299</v>
      </c>
      <c r="L40" s="142" t="s">
        <v>5300</v>
      </c>
      <c r="M40" s="142" t="s">
        <v>5301</v>
      </c>
      <c r="N40" s="351" t="s">
        <v>5302</v>
      </c>
      <c r="O40" s="351" t="s">
        <v>5303</v>
      </c>
      <c r="P40" s="95"/>
      <c r="R40" s="86" t="str">
        <f t="shared" si="5"/>
        <v>321</v>
      </c>
      <c r="S40" s="86" t="str">
        <f t="shared" si="6"/>
        <v>32</v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 ht="56.25">
      <c r="A41" s="96">
        <v>51</v>
      </c>
      <c r="B41" s="91" t="str">
        <f t="shared" si="1"/>
        <v>Pomoći EU</v>
      </c>
      <c r="C41" s="96">
        <v>3213</v>
      </c>
      <c r="D41" s="91" t="str">
        <f t="shared" si="2"/>
        <v>Stručno usavršavanje zaposlenika</v>
      </c>
      <c r="E41" s="129" t="s">
        <v>699</v>
      </c>
      <c r="F41" s="91" t="str">
        <f t="shared" si="3"/>
        <v>NOVI PODPROJEKT</v>
      </c>
      <c r="G41" s="91" t="str">
        <f t="shared" si="4"/>
        <v>NOVI PODPROJEKT</v>
      </c>
      <c r="H41" s="128">
        <v>4070</v>
      </c>
      <c r="I41" s="128">
        <v>4070</v>
      </c>
      <c r="J41" s="128"/>
      <c r="K41" s="143" t="s">
        <v>5299</v>
      </c>
      <c r="L41" s="142" t="s">
        <v>5300</v>
      </c>
      <c r="M41" s="142" t="s">
        <v>5301</v>
      </c>
      <c r="N41" s="351" t="s">
        <v>5302</v>
      </c>
      <c r="O41" s="143" t="s">
        <v>5304</v>
      </c>
      <c r="P41" s="95"/>
      <c r="R41" s="86" t="str">
        <f t="shared" si="5"/>
        <v>321</v>
      </c>
      <c r="S41" s="86" t="str">
        <f t="shared" si="6"/>
        <v>32</v>
      </c>
      <c r="T41" s="86" t="str">
        <f t="shared" si="7"/>
        <v>OV</v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 ht="56.25">
      <c r="A42" s="96">
        <v>51</v>
      </c>
      <c r="B42" s="91" t="str">
        <f t="shared" si="1"/>
        <v>Pomoći EU</v>
      </c>
      <c r="C42" s="96">
        <v>3237</v>
      </c>
      <c r="D42" s="91" t="str">
        <f t="shared" si="2"/>
        <v>Intelektualne i osobne usluge</v>
      </c>
      <c r="E42" s="129" t="s">
        <v>699</v>
      </c>
      <c r="F42" s="91" t="str">
        <f t="shared" si="3"/>
        <v>NOVI PODPROJEKT</v>
      </c>
      <c r="G42" s="91" t="str">
        <f t="shared" si="4"/>
        <v>NOVI PODPROJEKT</v>
      </c>
      <c r="H42" s="128">
        <v>3976</v>
      </c>
      <c r="I42" s="128">
        <v>3976</v>
      </c>
      <c r="J42" s="128"/>
      <c r="K42" s="143" t="s">
        <v>5299</v>
      </c>
      <c r="L42" s="142" t="s">
        <v>5300</v>
      </c>
      <c r="M42" s="142" t="s">
        <v>5301</v>
      </c>
      <c r="N42" s="351" t="s">
        <v>5302</v>
      </c>
      <c r="O42" s="143" t="s">
        <v>5304</v>
      </c>
      <c r="P42" s="95"/>
      <c r="R42" s="86" t="str">
        <f t="shared" si="5"/>
        <v>323</v>
      </c>
      <c r="S42" s="86" t="str">
        <f t="shared" si="6"/>
        <v>32</v>
      </c>
      <c r="T42" s="86" t="str">
        <f t="shared" si="7"/>
        <v>OV</v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3"/>
      <c r="N43" s="143"/>
      <c r="O43" s="351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3"/>
      <c r="N44" s="143"/>
      <c r="O44" s="143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 ht="281.25">
      <c r="A45" s="96">
        <v>563</v>
      </c>
      <c r="B45" s="91" t="str">
        <f t="shared" si="1"/>
        <v>Europski fond za regionalni razvoj (ERDF)</v>
      </c>
      <c r="C45" s="96">
        <v>3111</v>
      </c>
      <c r="D45" s="91" t="str">
        <f t="shared" si="2"/>
        <v>Plaće za redovan rad</v>
      </c>
      <c r="E45" s="129" t="s">
        <v>699</v>
      </c>
      <c r="F45" s="91" t="str">
        <f t="shared" si="3"/>
        <v>NOVI PODPROJEKT</v>
      </c>
      <c r="G45" s="91" t="str">
        <f t="shared" si="4"/>
        <v>NOVI PODPROJEKT</v>
      </c>
      <c r="H45" s="128">
        <v>31715</v>
      </c>
      <c r="I45" s="128">
        <v>0</v>
      </c>
      <c r="J45" s="128">
        <v>0</v>
      </c>
      <c r="K45" s="351" t="s">
        <v>5305</v>
      </c>
      <c r="L45" s="142" t="s">
        <v>5306</v>
      </c>
      <c r="M45" s="142" t="s">
        <v>5307</v>
      </c>
      <c r="N45" s="143" t="s">
        <v>1208</v>
      </c>
      <c r="O45" s="351" t="s">
        <v>5308</v>
      </c>
      <c r="P45" s="95"/>
      <c r="R45" s="86" t="str">
        <f t="shared" si="5"/>
        <v>311</v>
      </c>
      <c r="S45" s="86" t="str">
        <f t="shared" si="6"/>
        <v>31</v>
      </c>
      <c r="T45" s="86" t="str">
        <f t="shared" si="7"/>
        <v>OV</v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>
        <v>563</v>
      </c>
      <c r="B46" s="91" t="str">
        <f t="shared" si="1"/>
        <v>Europski fond za regionalni razvoj (ERDF)</v>
      </c>
      <c r="C46" s="96">
        <v>3132</v>
      </c>
      <c r="D46" s="91" t="str">
        <f t="shared" si="2"/>
        <v>Doprinosi za obvezno zdravstveno osiguranje</v>
      </c>
      <c r="E46" s="129" t="s">
        <v>699</v>
      </c>
      <c r="F46" s="91" t="str">
        <f t="shared" si="3"/>
        <v>NOVI PODPROJEKT</v>
      </c>
      <c r="G46" s="91" t="str">
        <f t="shared" si="4"/>
        <v>NOVI PODPROJEKT</v>
      </c>
      <c r="H46" s="128">
        <v>5233</v>
      </c>
      <c r="I46" s="128">
        <v>0</v>
      </c>
      <c r="J46" s="128">
        <v>0</v>
      </c>
      <c r="K46" s="351"/>
      <c r="L46" s="142" t="s">
        <v>5306</v>
      </c>
      <c r="M46" s="142" t="s">
        <v>5307</v>
      </c>
      <c r="N46" s="143" t="s">
        <v>1208</v>
      </c>
      <c r="O46" s="143"/>
      <c r="P46" s="95"/>
      <c r="R46" s="86" t="str">
        <f t="shared" si="5"/>
        <v>313</v>
      </c>
      <c r="S46" s="86" t="str">
        <f t="shared" si="6"/>
        <v>31</v>
      </c>
      <c r="T46" s="86" t="str">
        <f t="shared" si="7"/>
        <v>OV</v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>
        <v>563</v>
      </c>
      <c r="B47" s="91" t="str">
        <f t="shared" si="1"/>
        <v>Europski fond za regionalni razvoj (ERDF)</v>
      </c>
      <c r="C47" s="96">
        <v>3211</v>
      </c>
      <c r="D47" s="91" t="str">
        <f t="shared" si="2"/>
        <v>Službena putovanja</v>
      </c>
      <c r="E47" s="129" t="s">
        <v>699</v>
      </c>
      <c r="F47" s="91" t="str">
        <f t="shared" si="3"/>
        <v>NOVI PODPROJEKT</v>
      </c>
      <c r="G47" s="91" t="str">
        <f t="shared" si="4"/>
        <v>NOVI PODPROJEKT</v>
      </c>
      <c r="H47" s="128">
        <v>10949</v>
      </c>
      <c r="I47" s="128">
        <v>0</v>
      </c>
      <c r="J47" s="128">
        <v>0</v>
      </c>
      <c r="K47" s="351"/>
      <c r="L47" s="142" t="s">
        <v>5306</v>
      </c>
      <c r="M47" s="142" t="s">
        <v>5307</v>
      </c>
      <c r="N47" s="143" t="s">
        <v>1208</v>
      </c>
      <c r="O47" s="143"/>
      <c r="P47" s="95"/>
      <c r="R47" s="86" t="str">
        <f t="shared" si="5"/>
        <v>321</v>
      </c>
      <c r="S47" s="86" t="str">
        <f t="shared" si="6"/>
        <v>32</v>
      </c>
      <c r="T47" s="86" t="str">
        <f t="shared" si="7"/>
        <v>OV</v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>
        <v>563</v>
      </c>
      <c r="B48" s="91" t="str">
        <f t="shared" si="1"/>
        <v>Europski fond za regionalni razvoj (ERDF)</v>
      </c>
      <c r="C48" s="96">
        <v>3222</v>
      </c>
      <c r="D48" s="91" t="str">
        <f t="shared" si="2"/>
        <v>Materijal i sirovine</v>
      </c>
      <c r="E48" s="129" t="s">
        <v>699</v>
      </c>
      <c r="F48" s="91" t="str">
        <f t="shared" si="3"/>
        <v>NOVI PODPROJEKT</v>
      </c>
      <c r="G48" s="91" t="str">
        <f t="shared" si="4"/>
        <v>NOVI PODPROJEKT</v>
      </c>
      <c r="H48" s="128">
        <v>125808</v>
      </c>
      <c r="I48" s="128">
        <v>0</v>
      </c>
      <c r="J48" s="128">
        <v>0</v>
      </c>
      <c r="K48" s="351"/>
      <c r="L48" s="142" t="s">
        <v>5306</v>
      </c>
      <c r="M48" s="142" t="s">
        <v>5307</v>
      </c>
      <c r="N48" s="143" t="s">
        <v>1208</v>
      </c>
      <c r="O48" s="143"/>
      <c r="P48" s="95"/>
      <c r="R48" s="86" t="str">
        <f t="shared" si="5"/>
        <v>322</v>
      </c>
      <c r="S48" s="86" t="str">
        <f t="shared" si="6"/>
        <v>32</v>
      </c>
      <c r="T48" s="86" t="str">
        <f t="shared" si="7"/>
        <v>OV</v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>
        <v>563</v>
      </c>
      <c r="B49" s="91" t="str">
        <f t="shared" si="1"/>
        <v>Europski fond za regionalni razvoj (ERDF)</v>
      </c>
      <c r="C49" s="96">
        <v>3293</v>
      </c>
      <c r="D49" s="91" t="str">
        <f t="shared" si="2"/>
        <v>Reprezentacija</v>
      </c>
      <c r="E49" s="129" t="s">
        <v>699</v>
      </c>
      <c r="F49" s="91" t="str">
        <f t="shared" si="3"/>
        <v>NOVI PODPROJEKT</v>
      </c>
      <c r="G49" s="91" t="str">
        <f t="shared" si="4"/>
        <v>NOVI PODPROJEKT</v>
      </c>
      <c r="H49" s="128">
        <v>0</v>
      </c>
      <c r="I49" s="128">
        <v>0</v>
      </c>
      <c r="J49" s="128">
        <v>0</v>
      </c>
      <c r="K49" s="351"/>
      <c r="L49" s="142" t="s">
        <v>5306</v>
      </c>
      <c r="M49" s="142" t="s">
        <v>5307</v>
      </c>
      <c r="N49" s="143" t="s">
        <v>1208</v>
      </c>
      <c r="O49" s="143"/>
      <c r="P49" s="95"/>
      <c r="R49" s="86" t="str">
        <f t="shared" si="5"/>
        <v>329</v>
      </c>
      <c r="S49" s="86" t="str">
        <f t="shared" si="6"/>
        <v>32</v>
      </c>
      <c r="T49" s="86" t="str">
        <f t="shared" si="7"/>
        <v>OV</v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>
        <v>563</v>
      </c>
      <c r="B50" s="91" t="str">
        <f t="shared" si="1"/>
        <v>Europski fond za regionalni razvoj (ERDF)</v>
      </c>
      <c r="C50" s="96">
        <v>3233</v>
      </c>
      <c r="D50" s="91" t="str">
        <f t="shared" si="2"/>
        <v>Usluge promidžbe i informiranja</v>
      </c>
      <c r="E50" s="129" t="s">
        <v>699</v>
      </c>
      <c r="F50" s="91" t="str">
        <f t="shared" si="3"/>
        <v>NOVI PODPROJEKT</v>
      </c>
      <c r="G50" s="91" t="str">
        <f t="shared" si="4"/>
        <v>NOVI PODPROJEKT</v>
      </c>
      <c r="H50" s="128">
        <v>0</v>
      </c>
      <c r="I50" s="128">
        <v>0</v>
      </c>
      <c r="J50" s="128">
        <v>0</v>
      </c>
      <c r="K50" s="351"/>
      <c r="L50" s="142" t="s">
        <v>5306</v>
      </c>
      <c r="M50" s="142" t="s">
        <v>5307</v>
      </c>
      <c r="N50" s="143" t="s">
        <v>1208</v>
      </c>
      <c r="O50" s="143"/>
      <c r="P50" s="95"/>
      <c r="R50" s="86" t="str">
        <f t="shared" si="5"/>
        <v>323</v>
      </c>
      <c r="S50" s="86" t="str">
        <f t="shared" si="6"/>
        <v>32</v>
      </c>
      <c r="T50" s="86" t="str">
        <f t="shared" si="7"/>
        <v>OV</v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>
        <v>563</v>
      </c>
      <c r="B51" s="91" t="str">
        <f t="shared" si="1"/>
        <v>Europski fond za regionalni razvoj (ERDF)</v>
      </c>
      <c r="C51" s="96">
        <v>3237</v>
      </c>
      <c r="D51" s="91" t="str">
        <f t="shared" si="2"/>
        <v>Intelektualne i osobne usluge</v>
      </c>
      <c r="E51" s="129" t="s">
        <v>699</v>
      </c>
      <c r="F51" s="91" t="str">
        <f t="shared" si="3"/>
        <v>NOVI PODPROJEKT</v>
      </c>
      <c r="G51" s="91" t="str">
        <f t="shared" si="4"/>
        <v>NOVI PODPROJEKT</v>
      </c>
      <c r="H51" s="128">
        <v>17851</v>
      </c>
      <c r="I51" s="128">
        <v>0</v>
      </c>
      <c r="J51" s="128">
        <v>0</v>
      </c>
      <c r="K51" s="351"/>
      <c r="L51" s="142" t="s">
        <v>5306</v>
      </c>
      <c r="M51" s="142" t="s">
        <v>5307</v>
      </c>
      <c r="N51" s="143" t="s">
        <v>1208</v>
      </c>
      <c r="O51" s="143"/>
      <c r="P51" s="95"/>
      <c r="R51" s="86" t="str">
        <f t="shared" si="5"/>
        <v>323</v>
      </c>
      <c r="S51" s="86" t="str">
        <f t="shared" si="6"/>
        <v>32</v>
      </c>
      <c r="T51" s="86" t="str">
        <f t="shared" si="7"/>
        <v>OV</v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>
        <v>563</v>
      </c>
      <c r="B52" s="91" t="str">
        <f t="shared" si="1"/>
        <v>Europski fond za regionalni razvoj (ERDF)</v>
      </c>
      <c r="C52" s="96">
        <v>3213</v>
      </c>
      <c r="D52" s="91" t="str">
        <f t="shared" si="2"/>
        <v>Stručno usavršavanje zaposlenika</v>
      </c>
      <c r="E52" s="129" t="s">
        <v>699</v>
      </c>
      <c r="F52" s="91" t="str">
        <f t="shared" si="3"/>
        <v>NOVI PODPROJEKT</v>
      </c>
      <c r="G52" s="91" t="str">
        <f t="shared" si="4"/>
        <v>NOVI PODPROJEKT</v>
      </c>
      <c r="H52" s="128">
        <v>27871</v>
      </c>
      <c r="I52" s="128">
        <v>0</v>
      </c>
      <c r="J52" s="128">
        <v>0</v>
      </c>
      <c r="K52" s="351"/>
      <c r="L52" s="142" t="s">
        <v>5306</v>
      </c>
      <c r="M52" s="142" t="s">
        <v>5307</v>
      </c>
      <c r="N52" s="143" t="s">
        <v>1208</v>
      </c>
      <c r="O52" s="143"/>
      <c r="P52" s="95"/>
      <c r="R52" s="86" t="str">
        <f t="shared" si="5"/>
        <v>321</v>
      </c>
      <c r="S52" s="86" t="str">
        <f t="shared" si="6"/>
        <v>32</v>
      </c>
      <c r="T52" s="86" t="str">
        <f t="shared" si="7"/>
        <v>OV</v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>
        <v>563</v>
      </c>
      <c r="B53" s="91" t="str">
        <f t="shared" si="1"/>
        <v>Europski fond za regionalni razvoj (ERDF)</v>
      </c>
      <c r="C53" s="96">
        <v>3239</v>
      </c>
      <c r="D53" s="91" t="str">
        <f t="shared" si="2"/>
        <v>Ostale usluge</v>
      </c>
      <c r="E53" s="129" t="s">
        <v>699</v>
      </c>
      <c r="F53" s="91" t="str">
        <f t="shared" si="3"/>
        <v>NOVI PODPROJEKT</v>
      </c>
      <c r="G53" s="91" t="str">
        <f t="shared" si="4"/>
        <v>NOVI PODPROJEKT</v>
      </c>
      <c r="H53" s="128">
        <v>14002</v>
      </c>
      <c r="I53" s="128">
        <v>0</v>
      </c>
      <c r="J53" s="128">
        <v>0</v>
      </c>
      <c r="K53" s="351"/>
      <c r="L53" s="142" t="s">
        <v>5306</v>
      </c>
      <c r="M53" s="142" t="s">
        <v>5307</v>
      </c>
      <c r="N53" s="143" t="s">
        <v>1208</v>
      </c>
      <c r="O53" s="143"/>
      <c r="P53" s="95"/>
      <c r="R53" s="86" t="str">
        <f t="shared" si="5"/>
        <v>323</v>
      </c>
      <c r="S53" s="86" t="str">
        <f t="shared" si="6"/>
        <v>32</v>
      </c>
      <c r="T53" s="86" t="str">
        <f t="shared" si="7"/>
        <v>OV</v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>
        <v>563</v>
      </c>
      <c r="B54" s="91" t="str">
        <f t="shared" si="1"/>
        <v>Europski fond za regionalni razvoj (ERDF)</v>
      </c>
      <c r="C54" s="96">
        <v>4224</v>
      </c>
      <c r="D54" s="91" t="str">
        <f t="shared" si="2"/>
        <v>Medicinska i laboratorijska oprema</v>
      </c>
      <c r="E54" s="129" t="s">
        <v>699</v>
      </c>
      <c r="F54" s="91" t="str">
        <f t="shared" si="3"/>
        <v>NOVI PODPROJEKT</v>
      </c>
      <c r="G54" s="91" t="str">
        <f t="shared" si="4"/>
        <v>NOVI PODPROJEKT</v>
      </c>
      <c r="H54" s="128">
        <v>195446</v>
      </c>
      <c r="I54" s="128">
        <v>0</v>
      </c>
      <c r="J54" s="128">
        <v>0</v>
      </c>
      <c r="K54" s="351"/>
      <c r="L54" s="142" t="s">
        <v>5306</v>
      </c>
      <c r="M54" s="142" t="s">
        <v>5307</v>
      </c>
      <c r="N54" s="143" t="s">
        <v>1208</v>
      </c>
      <c r="O54" s="143"/>
      <c r="P54" s="95"/>
      <c r="R54" s="86" t="str">
        <f t="shared" si="5"/>
        <v>422</v>
      </c>
      <c r="S54" s="86" t="str">
        <f t="shared" si="6"/>
        <v>42</v>
      </c>
      <c r="T54" s="86" t="str">
        <f t="shared" si="7"/>
        <v>OV</v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143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 ht="56.25">
      <c r="A56" s="96">
        <v>563</v>
      </c>
      <c r="B56" s="91" t="str">
        <f t="shared" si="1"/>
        <v>Europski fond za regionalni razvoj (ERDF)</v>
      </c>
      <c r="C56" s="96">
        <v>3237</v>
      </c>
      <c r="D56" s="91" t="str">
        <f t="shared" si="2"/>
        <v>Intelektualne i osobne usluge</v>
      </c>
      <c r="E56" s="129" t="s">
        <v>699</v>
      </c>
      <c r="F56" s="91" t="str">
        <f t="shared" si="3"/>
        <v>NOVI PODPROJEKT</v>
      </c>
      <c r="G56" s="91" t="str">
        <f t="shared" si="4"/>
        <v>NOVI PODPROJEKT</v>
      </c>
      <c r="H56" s="128">
        <v>11366</v>
      </c>
      <c r="I56" s="128">
        <v>0</v>
      </c>
      <c r="J56" s="128">
        <v>0</v>
      </c>
      <c r="K56" s="351" t="s">
        <v>5309</v>
      </c>
      <c r="L56" s="142" t="s">
        <v>5310</v>
      </c>
      <c r="M56" s="142"/>
      <c r="N56" s="143" t="s">
        <v>1208</v>
      </c>
      <c r="O56" s="351" t="s">
        <v>5309</v>
      </c>
      <c r="P56" s="95"/>
      <c r="R56" s="86" t="str">
        <f t="shared" si="5"/>
        <v>323</v>
      </c>
      <c r="S56" s="86" t="str">
        <f t="shared" si="6"/>
        <v>32</v>
      </c>
      <c r="T56" s="86" t="str">
        <f t="shared" si="7"/>
        <v>OV</v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 ht="56.25">
      <c r="A57" s="96">
        <v>563</v>
      </c>
      <c r="B57" s="91" t="str">
        <f t="shared" si="1"/>
        <v>Europski fond za regionalni razvoj (ERDF)</v>
      </c>
      <c r="C57" s="96">
        <v>3239</v>
      </c>
      <c r="D57" s="91" t="str">
        <f t="shared" si="2"/>
        <v>Ostale usluge</v>
      </c>
      <c r="E57" s="129" t="s">
        <v>699</v>
      </c>
      <c r="F57" s="91" t="str">
        <f t="shared" si="3"/>
        <v>NOVI PODPROJEKT</v>
      </c>
      <c r="G57" s="91" t="str">
        <f t="shared" si="4"/>
        <v>NOVI PODPROJEKT</v>
      </c>
      <c r="H57" s="128">
        <v>33759</v>
      </c>
      <c r="I57" s="128">
        <v>0</v>
      </c>
      <c r="J57" s="128">
        <v>0</v>
      </c>
      <c r="K57" s="351" t="s">
        <v>5309</v>
      </c>
      <c r="L57" s="142" t="s">
        <v>5310</v>
      </c>
      <c r="M57" s="142"/>
      <c r="N57" s="143" t="s">
        <v>1208</v>
      </c>
      <c r="O57" s="351" t="s">
        <v>5309</v>
      </c>
      <c r="P57" s="95"/>
      <c r="R57" s="86" t="str">
        <f t="shared" si="5"/>
        <v>323</v>
      </c>
      <c r="S57" s="86" t="str">
        <f t="shared" si="6"/>
        <v>32</v>
      </c>
      <c r="T57" s="86" t="str">
        <f t="shared" si="7"/>
        <v>OV</v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 ht="56.25">
      <c r="A58" s="96">
        <v>12</v>
      </c>
      <c r="B58" s="91" t="str">
        <f t="shared" si="1"/>
        <v>Sredstva učešća za pomoći</v>
      </c>
      <c r="C58" s="96">
        <v>3237</v>
      </c>
      <c r="D58" s="91" t="str">
        <f t="shared" si="2"/>
        <v>Intelektualne i osobne usluge</v>
      </c>
      <c r="E58" s="129" t="s">
        <v>699</v>
      </c>
      <c r="F58" s="91" t="str">
        <f t="shared" si="3"/>
        <v>NOVI PODPROJEKT</v>
      </c>
      <c r="G58" s="91" t="str">
        <f t="shared" si="4"/>
        <v>NOVI PODPROJEKT</v>
      </c>
      <c r="H58" s="128">
        <v>2006</v>
      </c>
      <c r="I58" s="128">
        <v>0</v>
      </c>
      <c r="J58" s="128">
        <v>0</v>
      </c>
      <c r="K58" s="351" t="s">
        <v>5309</v>
      </c>
      <c r="L58" s="142" t="s">
        <v>5310</v>
      </c>
      <c r="M58" s="142"/>
      <c r="N58" s="143" t="s">
        <v>1208</v>
      </c>
      <c r="O58" s="351" t="s">
        <v>5309</v>
      </c>
      <c r="P58" s="95"/>
      <c r="R58" s="86" t="str">
        <f t="shared" si="5"/>
        <v>323</v>
      </c>
      <c r="S58" s="86" t="str">
        <f t="shared" si="6"/>
        <v>32</v>
      </c>
      <c r="T58" s="86" t="str">
        <f t="shared" si="7"/>
        <v>OV</v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 ht="56.25">
      <c r="A59" s="96">
        <v>12</v>
      </c>
      <c r="B59" s="91" t="str">
        <f t="shared" si="1"/>
        <v>Sredstva učešća za pomoći</v>
      </c>
      <c r="C59" s="96">
        <v>3239</v>
      </c>
      <c r="D59" s="91" t="str">
        <f t="shared" si="2"/>
        <v>Ostale usluge</v>
      </c>
      <c r="E59" s="129" t="s">
        <v>699</v>
      </c>
      <c r="F59" s="91" t="str">
        <f t="shared" si="3"/>
        <v>NOVI PODPROJEKT</v>
      </c>
      <c r="G59" s="91" t="str">
        <f t="shared" si="4"/>
        <v>NOVI PODPROJEKT</v>
      </c>
      <c r="H59" s="128">
        <v>5958</v>
      </c>
      <c r="I59" s="128">
        <v>0</v>
      </c>
      <c r="J59" s="128">
        <v>0</v>
      </c>
      <c r="K59" s="351" t="s">
        <v>5309</v>
      </c>
      <c r="L59" s="142" t="s">
        <v>5310</v>
      </c>
      <c r="M59" s="142"/>
      <c r="N59" s="143" t="s">
        <v>1208</v>
      </c>
      <c r="O59" s="351" t="s">
        <v>5309</v>
      </c>
      <c r="P59" s="95"/>
      <c r="R59" s="86" t="str">
        <f t="shared" si="5"/>
        <v>323</v>
      </c>
      <c r="S59" s="86" t="str">
        <f t="shared" si="6"/>
        <v>32</v>
      </c>
      <c r="T59" s="86" t="str">
        <f t="shared" si="7"/>
        <v>OV</v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143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 ht="180">
      <c r="A61" s="96">
        <v>563</v>
      </c>
      <c r="B61" s="91" t="str">
        <f t="shared" si="1"/>
        <v>Europski fond za regionalni razvoj (ERDF)</v>
      </c>
      <c r="C61" s="96">
        <v>3239</v>
      </c>
      <c r="D61" s="91" t="str">
        <f t="shared" si="2"/>
        <v>Ostale usluge</v>
      </c>
      <c r="E61" s="129" t="s">
        <v>699</v>
      </c>
      <c r="F61" s="91" t="str">
        <f t="shared" si="3"/>
        <v>NOVI PODPROJEKT</v>
      </c>
      <c r="G61" s="91" t="str">
        <f t="shared" si="4"/>
        <v>NOVI PODPROJEKT</v>
      </c>
      <c r="H61" s="128">
        <v>310562</v>
      </c>
      <c r="I61" s="128">
        <v>0</v>
      </c>
      <c r="J61" s="128">
        <v>0</v>
      </c>
      <c r="K61" s="351" t="s">
        <v>5311</v>
      </c>
      <c r="L61" s="142" t="s">
        <v>5312</v>
      </c>
      <c r="M61" s="142" t="s">
        <v>5313</v>
      </c>
      <c r="N61" s="143" t="s">
        <v>1208</v>
      </c>
      <c r="O61" s="351" t="s">
        <v>5314</v>
      </c>
      <c r="P61" s="95"/>
      <c r="R61" s="86" t="str">
        <f t="shared" si="5"/>
        <v>323</v>
      </c>
      <c r="S61" s="86" t="str">
        <f t="shared" si="6"/>
        <v>32</v>
      </c>
      <c r="T61" s="86" t="str">
        <f t="shared" si="7"/>
        <v>OV</v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 ht="33.75">
      <c r="A62" s="96">
        <v>563</v>
      </c>
      <c r="B62" s="91" t="str">
        <f t="shared" si="1"/>
        <v>Europski fond za regionalni razvoj (ERDF)</v>
      </c>
      <c r="C62" s="96">
        <v>3237</v>
      </c>
      <c r="D62" s="91" t="str">
        <f t="shared" si="2"/>
        <v>Intelektualne i osobne usluge</v>
      </c>
      <c r="E62" s="129" t="s">
        <v>699</v>
      </c>
      <c r="F62" s="91" t="str">
        <f t="shared" si="3"/>
        <v>NOVI PODPROJEKT</v>
      </c>
      <c r="G62" s="91" t="str">
        <f t="shared" si="4"/>
        <v>NOVI PODPROJEKT</v>
      </c>
      <c r="H62" s="128">
        <v>32176</v>
      </c>
      <c r="I62" s="128">
        <v>0</v>
      </c>
      <c r="J62" s="128">
        <v>0</v>
      </c>
      <c r="K62" s="351" t="s">
        <v>5311</v>
      </c>
      <c r="L62" s="142" t="s">
        <v>5312</v>
      </c>
      <c r="M62" s="142" t="s">
        <v>5313</v>
      </c>
      <c r="N62" s="143" t="s">
        <v>1208</v>
      </c>
      <c r="O62" s="143"/>
      <c r="P62" s="95"/>
      <c r="R62" s="86" t="str">
        <f t="shared" si="5"/>
        <v>323</v>
      </c>
      <c r="S62" s="86" t="str">
        <f t="shared" si="6"/>
        <v>32</v>
      </c>
      <c r="T62" s="86" t="str">
        <f t="shared" si="7"/>
        <v>OV</v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 ht="33.75">
      <c r="A63" s="96">
        <v>563</v>
      </c>
      <c r="B63" s="91" t="str">
        <f t="shared" si="1"/>
        <v>Europski fond za regionalni razvoj (ERDF)</v>
      </c>
      <c r="C63" s="96">
        <v>3234</v>
      </c>
      <c r="D63" s="91" t="str">
        <f t="shared" si="2"/>
        <v>Komunalne usluge</v>
      </c>
      <c r="E63" s="129" t="s">
        <v>699</v>
      </c>
      <c r="F63" s="91" t="str">
        <f t="shared" si="3"/>
        <v>NOVI PODPROJEKT</v>
      </c>
      <c r="G63" s="91" t="str">
        <f t="shared" si="4"/>
        <v>NOVI PODPROJEKT</v>
      </c>
      <c r="H63" s="128">
        <v>35905</v>
      </c>
      <c r="I63" s="128">
        <v>0</v>
      </c>
      <c r="J63" s="128">
        <v>0</v>
      </c>
      <c r="K63" s="351" t="s">
        <v>5311</v>
      </c>
      <c r="L63" s="142" t="s">
        <v>5312</v>
      </c>
      <c r="M63" s="142" t="s">
        <v>5313</v>
      </c>
      <c r="N63" s="143" t="s">
        <v>1208</v>
      </c>
      <c r="O63" s="143"/>
      <c r="P63" s="95"/>
      <c r="R63" s="86" t="str">
        <f t="shared" si="5"/>
        <v>323</v>
      </c>
      <c r="S63" s="86" t="str">
        <f t="shared" si="6"/>
        <v>32</v>
      </c>
      <c r="T63" s="86" t="str">
        <f t="shared" si="7"/>
        <v>OV</v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 ht="33.75">
      <c r="A64" s="96">
        <v>12</v>
      </c>
      <c r="B64" s="91" t="str">
        <f t="shared" si="1"/>
        <v>Sredstva učešća za pomoći</v>
      </c>
      <c r="C64" s="96">
        <v>3239</v>
      </c>
      <c r="D64" s="91" t="str">
        <f t="shared" si="2"/>
        <v>Ostale usluge</v>
      </c>
      <c r="E64" s="129" t="s">
        <v>699</v>
      </c>
      <c r="F64" s="91" t="str">
        <f t="shared" si="3"/>
        <v>NOVI PODPROJEKT</v>
      </c>
      <c r="G64" s="91" t="str">
        <f t="shared" si="4"/>
        <v>NOVI PODPROJEKT</v>
      </c>
      <c r="H64" s="128">
        <v>54804</v>
      </c>
      <c r="I64" s="128">
        <v>0</v>
      </c>
      <c r="J64" s="128">
        <v>0</v>
      </c>
      <c r="K64" s="351" t="s">
        <v>5311</v>
      </c>
      <c r="L64" s="142" t="s">
        <v>5312</v>
      </c>
      <c r="M64" s="142" t="s">
        <v>5313</v>
      </c>
      <c r="N64" s="143" t="s">
        <v>1208</v>
      </c>
      <c r="O64" s="143"/>
      <c r="P64" s="95"/>
      <c r="R64" s="86" t="str">
        <f t="shared" si="5"/>
        <v>323</v>
      </c>
      <c r="S64" s="86" t="str">
        <f t="shared" si="6"/>
        <v>32</v>
      </c>
      <c r="T64" s="86" t="str">
        <f t="shared" si="7"/>
        <v>OV</v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 ht="33.75">
      <c r="A65" s="96">
        <v>12</v>
      </c>
      <c r="B65" s="91" t="str">
        <f t="shared" si="1"/>
        <v>Sredstva učešća za pomoći</v>
      </c>
      <c r="C65" s="96">
        <v>3237</v>
      </c>
      <c r="D65" s="91" t="str">
        <f t="shared" si="2"/>
        <v>Intelektualne i osobne usluge</v>
      </c>
      <c r="E65" s="129" t="s">
        <v>699</v>
      </c>
      <c r="F65" s="91" t="str">
        <f t="shared" si="3"/>
        <v>NOVI PODPROJEKT</v>
      </c>
      <c r="G65" s="91" t="str">
        <f t="shared" si="4"/>
        <v>NOVI PODPROJEKT</v>
      </c>
      <c r="H65" s="128">
        <v>5678</v>
      </c>
      <c r="I65" s="128">
        <v>0</v>
      </c>
      <c r="J65" s="128">
        <v>0</v>
      </c>
      <c r="K65" s="351" t="s">
        <v>5311</v>
      </c>
      <c r="L65" s="142" t="s">
        <v>5312</v>
      </c>
      <c r="M65" s="142" t="s">
        <v>5313</v>
      </c>
      <c r="N65" s="143" t="s">
        <v>1208</v>
      </c>
      <c r="O65" s="143"/>
      <c r="P65" s="95"/>
      <c r="R65" s="86" t="str">
        <f t="shared" si="5"/>
        <v>323</v>
      </c>
      <c r="S65" s="86" t="str">
        <f t="shared" si="6"/>
        <v>32</v>
      </c>
      <c r="T65" s="86" t="str">
        <f t="shared" si="7"/>
        <v>OV</v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 ht="33.75">
      <c r="A66" s="96">
        <v>12</v>
      </c>
      <c r="B66" s="91" t="str">
        <f t="shared" si="1"/>
        <v>Sredstva učešća za pomoći</v>
      </c>
      <c r="C66" s="96">
        <v>3234</v>
      </c>
      <c r="D66" s="91" t="str">
        <f t="shared" si="2"/>
        <v>Komunalne usluge</v>
      </c>
      <c r="E66" s="129" t="s">
        <v>699</v>
      </c>
      <c r="F66" s="91" t="str">
        <f t="shared" si="3"/>
        <v>NOVI PODPROJEKT</v>
      </c>
      <c r="G66" s="91" t="str">
        <f t="shared" si="4"/>
        <v>NOVI PODPROJEKT</v>
      </c>
      <c r="H66" s="128">
        <v>6336</v>
      </c>
      <c r="I66" s="128">
        <v>0</v>
      </c>
      <c r="J66" s="128">
        <v>0</v>
      </c>
      <c r="K66" s="351" t="s">
        <v>5311</v>
      </c>
      <c r="L66" s="142" t="s">
        <v>5312</v>
      </c>
      <c r="M66" s="142" t="s">
        <v>5313</v>
      </c>
      <c r="N66" s="143" t="s">
        <v>1208</v>
      </c>
      <c r="O66" s="143"/>
      <c r="P66" s="95"/>
      <c r="R66" s="86" t="str">
        <f t="shared" si="5"/>
        <v>323</v>
      </c>
      <c r="S66" s="86" t="str">
        <f t="shared" si="6"/>
        <v>32</v>
      </c>
      <c r="T66" s="86" t="str">
        <f t="shared" si="7"/>
        <v>OV</v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351"/>
      <c r="L67" s="142"/>
      <c r="M67" s="142"/>
      <c r="N67" s="143"/>
      <c r="O67" s="143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143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351"/>
      <c r="L69" s="142"/>
      <c r="M69" s="142"/>
      <c r="N69" s="351"/>
      <c r="O69" s="351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351"/>
      <c r="L70" s="142"/>
      <c r="M70" s="142"/>
      <c r="N70" s="351"/>
      <c r="O70" s="143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351"/>
      <c r="L71" s="142"/>
      <c r="M71" s="142"/>
      <c r="N71" s="351"/>
      <c r="O71" s="143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351"/>
      <c r="L72" s="142"/>
      <c r="M72" s="142"/>
      <c r="N72" s="351"/>
      <c r="O72" s="143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351"/>
      <c r="L73" s="142"/>
      <c r="M73" s="142"/>
      <c r="N73" s="351"/>
      <c r="O73" s="143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351"/>
      <c r="L74" s="142"/>
      <c r="M74" s="142"/>
      <c r="N74" s="351"/>
      <c r="O74" s="143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351"/>
      <c r="L75" s="142"/>
      <c r="M75" s="142"/>
      <c r="N75" s="351"/>
      <c r="O75" s="143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143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351"/>
      <c r="O77" s="351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351"/>
      <c r="O78" s="143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351"/>
      <c r="O79" s="143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351"/>
      <c r="O80" s="143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143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143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143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143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143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143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143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143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1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1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1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1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1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1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1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1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1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1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1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1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1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1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1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1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1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1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1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1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1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1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1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1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96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1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96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1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1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1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1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1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1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1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1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1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1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1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1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1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1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1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1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1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1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1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1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1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1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1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1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1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1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1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1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1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1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1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1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1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1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1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1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1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1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1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1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1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1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1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1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1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1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1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1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1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1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1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1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1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1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1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1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1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1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1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1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1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1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1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1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1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1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1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1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1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1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1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1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1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1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1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1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1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1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1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1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1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1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1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1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1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1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1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1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1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1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1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1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1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1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1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1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1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1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1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1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1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1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1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1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1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1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1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1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1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1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1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1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1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1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1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1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1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1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1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1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1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1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1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1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1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1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1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1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1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1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1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1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1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1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1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1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1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1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1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1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1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1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1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1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1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1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1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1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1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1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1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1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1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1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1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1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1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1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1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1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1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1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1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1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1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1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1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1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1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1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1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1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1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1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1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1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1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1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1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1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1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1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1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1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1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1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1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1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1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1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1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1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1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1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1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1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1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1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1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1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1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1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1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1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1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1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1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1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1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1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1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1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1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1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1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1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1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1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1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1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1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1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1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1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1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1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1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1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1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1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1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1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1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1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1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1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1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1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1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1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1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1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1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1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1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1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1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1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1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1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1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1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1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1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1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1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1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1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1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1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1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1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1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1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1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1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1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1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1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1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1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1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1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1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1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1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1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1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1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1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1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1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1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1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1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1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1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1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1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1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1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1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1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1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1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1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1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1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1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1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1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1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1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1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1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1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1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1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1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1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1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1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1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1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1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1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1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1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1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1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1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1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1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1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1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1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1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1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1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1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1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1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1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1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1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1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1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1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1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1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1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1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1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1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1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1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1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1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1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1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1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1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1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opLeftCell="C1" zoomScale="80" zoomScaleNormal="80" workbookViewId="0">
      <selection activeCell="G24" sqref="G24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</row>
    <row r="2" spans="1:29" ht="21" customHeight="1">
      <c r="B2" s="366" t="s">
        <v>5265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9" s="42" customFormat="1" ht="15">
      <c r="B3" s="41"/>
      <c r="C3" s="41"/>
      <c r="D3" s="41"/>
      <c r="S3" s="43"/>
      <c r="W3" s="313" t="s">
        <v>5269</v>
      </c>
    </row>
    <row r="4" spans="1:29" s="42" customFormat="1" ht="89.25">
      <c r="A4" s="345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6">
        <v>2023</v>
      </c>
      <c r="B5" s="47"/>
      <c r="C5" s="48" t="s">
        <v>11</v>
      </c>
      <c r="D5" s="30">
        <f>SUM(E5:W5)</f>
        <v>1734969</v>
      </c>
      <c r="E5" s="3"/>
      <c r="F5" s="3"/>
      <c r="G5" s="3">
        <v>426000</v>
      </c>
      <c r="H5" s="3"/>
      <c r="I5" s="3">
        <v>600000</v>
      </c>
      <c r="J5" s="3"/>
      <c r="K5" s="3">
        <v>622470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>
        <v>86499</v>
      </c>
      <c r="X5" s="46"/>
      <c r="Y5" s="46"/>
      <c r="Z5" s="46"/>
      <c r="AA5" s="46"/>
      <c r="AB5" s="46"/>
      <c r="AC5" s="46"/>
    </row>
    <row r="6" spans="1:29" s="42" customFormat="1">
      <c r="A6" s="346">
        <v>2023</v>
      </c>
      <c r="B6" s="66"/>
      <c r="C6" s="67" t="s">
        <v>5264</v>
      </c>
      <c r="D6" s="30">
        <f>SUM(E6:W6)</f>
        <v>11297524</v>
      </c>
      <c r="E6" s="12">
        <f>+'A.1 PRIHODI'!E8</f>
        <v>8308350</v>
      </c>
      <c r="F6" s="12">
        <f>+'A.1 PRIHODI'!F8</f>
        <v>74782</v>
      </c>
      <c r="G6" s="12">
        <f>+'A.1 PRIHODI'!G8</f>
        <v>610524</v>
      </c>
      <c r="H6" s="12">
        <f>+'A.1 PRIHODI'!H8</f>
        <v>0</v>
      </c>
      <c r="I6" s="12">
        <f>+'A.1 PRIHODI'!I8+'B. RAČUN FIN'!I6</f>
        <v>387550</v>
      </c>
      <c r="J6" s="12">
        <f>+'A.1 PRIHODI'!J8</f>
        <v>13983</v>
      </c>
      <c r="K6" s="12">
        <f>+'A.1 PRIHODI'!K8</f>
        <v>1020042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852643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29650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6">
        <v>2023</v>
      </c>
      <c r="B7" s="151"/>
      <c r="C7" s="48" t="s">
        <v>5195</v>
      </c>
      <c r="D7" s="30">
        <f t="shared" ref="D7:D9" si="0">SUM(E7:W7)</f>
        <v>-1716916</v>
      </c>
      <c r="E7" s="197"/>
      <c r="F7" s="197"/>
      <c r="G7" s="197">
        <v>-426000</v>
      </c>
      <c r="H7" s="197"/>
      <c r="I7" s="197">
        <v>-600000</v>
      </c>
      <c r="J7" s="197"/>
      <c r="K7" s="197">
        <v>-622470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>
        <v>-68446</v>
      </c>
      <c r="X7" s="46"/>
      <c r="Y7" s="46"/>
      <c r="Z7" s="46"/>
      <c r="AA7" s="46"/>
      <c r="AB7" s="46"/>
      <c r="AC7" s="46"/>
    </row>
    <row r="8" spans="1:29" s="42" customFormat="1">
      <c r="A8" s="346">
        <v>2023</v>
      </c>
      <c r="B8" s="66"/>
      <c r="C8" s="67" t="s">
        <v>5266</v>
      </c>
      <c r="D8" s="30">
        <f t="shared" si="0"/>
        <v>11315577</v>
      </c>
      <c r="E8" s="12">
        <f>+E5+E6+E7</f>
        <v>8308350</v>
      </c>
      <c r="F8" s="12">
        <f t="shared" ref="F8:W8" si="1">+F5+F6+F7</f>
        <v>74782</v>
      </c>
      <c r="G8" s="12">
        <f t="shared" si="1"/>
        <v>610524</v>
      </c>
      <c r="H8" s="12">
        <f t="shared" si="1"/>
        <v>0</v>
      </c>
      <c r="I8" s="12">
        <f t="shared" si="1"/>
        <v>387550</v>
      </c>
      <c r="J8" s="12">
        <f t="shared" si="1"/>
        <v>13983</v>
      </c>
      <c r="K8" s="12">
        <f t="shared" si="1"/>
        <v>1020042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852643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29650</v>
      </c>
      <c r="U8" s="12">
        <f t="shared" si="1"/>
        <v>0</v>
      </c>
      <c r="V8" s="12">
        <f t="shared" si="1"/>
        <v>0</v>
      </c>
      <c r="W8" s="12">
        <f t="shared" si="1"/>
        <v>18053</v>
      </c>
    </row>
    <row r="9" spans="1:29" s="42" customFormat="1">
      <c r="A9" s="346">
        <v>2023</v>
      </c>
      <c r="B9" s="63"/>
      <c r="C9" s="64" t="s">
        <v>5267</v>
      </c>
      <c r="D9" s="30">
        <f t="shared" si="0"/>
        <v>11315577.066825934</v>
      </c>
      <c r="E9" s="82">
        <f>+'A.2 RASHODI'!E4+'B. RAČUN FIN'!E11</f>
        <v>8308350</v>
      </c>
      <c r="F9" s="82">
        <f>+'A.2 RASHODI'!F4+'B. RAČUN FIN'!F11</f>
        <v>74782</v>
      </c>
      <c r="G9" s="82">
        <f>+'A.2 RASHODI'!G4+'B. RAČUN FIN'!G11</f>
        <v>610523.75399827445</v>
      </c>
      <c r="H9" s="82">
        <f>+'A.2 RASHODI'!H4+'B. RAČUN FIN'!H11</f>
        <v>0</v>
      </c>
      <c r="I9" s="82">
        <f>+'A.2 RASHODI'!I4+'B. RAČUN FIN'!I11</f>
        <v>387550.31282765942</v>
      </c>
      <c r="J9" s="82">
        <f>+'A.2 RASHODI'!J4+'B. RAČUN FIN'!J11</f>
        <v>13983</v>
      </c>
      <c r="K9" s="82">
        <f>+'A.2 RASHODI'!K4+'B. RAČUN FIN'!K11</f>
        <v>1020042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852643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29650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18053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6">
        <v>2023</v>
      </c>
      <c r="B10" s="307"/>
      <c r="C10" s="307" t="s">
        <v>5275</v>
      </c>
      <c r="D10" s="69">
        <f>SUM(E10:W10)</f>
        <v>-6.6825933870859444E-2</v>
      </c>
      <c r="E10" s="69">
        <f>+E8-E9</f>
        <v>0</v>
      </c>
      <c r="F10" s="69">
        <f t="shared" ref="F10:W10" si="2">+F8-F9</f>
        <v>0</v>
      </c>
      <c r="G10" s="69">
        <f>+G8-G9</f>
        <v>0.24600172555074096</v>
      </c>
      <c r="H10" s="69">
        <f t="shared" si="2"/>
        <v>0</v>
      </c>
      <c r="I10" s="69">
        <f t="shared" si="2"/>
        <v>-0.3128276594216004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89.25">
      <c r="A12" s="345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6">
        <v>2024</v>
      </c>
      <c r="B13" s="47"/>
      <c r="C13" s="48" t="s">
        <v>11</v>
      </c>
      <c r="D13" s="30">
        <f t="shared" ref="D13:D18" si="3">SUM(E13:W13)</f>
        <v>1716916</v>
      </c>
      <c r="E13" s="131">
        <f t="shared" ref="E13:W13" si="4">-E7</f>
        <v>0</v>
      </c>
      <c r="F13" s="131">
        <f t="shared" si="4"/>
        <v>0</v>
      </c>
      <c r="G13" s="131">
        <f t="shared" si="4"/>
        <v>426000</v>
      </c>
      <c r="H13" s="131">
        <f t="shared" si="4"/>
        <v>0</v>
      </c>
      <c r="I13" s="131">
        <f t="shared" si="4"/>
        <v>600000</v>
      </c>
      <c r="J13" s="131">
        <f t="shared" si="4"/>
        <v>0</v>
      </c>
      <c r="K13" s="131">
        <f t="shared" si="4"/>
        <v>622470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68446</v>
      </c>
      <c r="X13" s="46"/>
      <c r="Y13" s="46"/>
      <c r="Z13" s="46"/>
      <c r="AA13" s="46"/>
      <c r="AB13" s="46"/>
      <c r="AC13" s="46"/>
    </row>
    <row r="14" spans="1:29" s="42" customFormat="1">
      <c r="A14" s="346">
        <v>2024</v>
      </c>
      <c r="B14" s="66"/>
      <c r="C14" s="67" t="s">
        <v>5264</v>
      </c>
      <c r="D14" s="30">
        <f t="shared" si="3"/>
        <v>9993161</v>
      </c>
      <c r="E14" s="12">
        <f>+'A.1 PRIHODI'!E22</f>
        <v>8345614</v>
      </c>
      <c r="F14" s="12">
        <f>+'A.1 PRIHODI'!F22</f>
        <v>0</v>
      </c>
      <c r="G14" s="12">
        <f>+'A.1 PRIHODI'!G22</f>
        <v>528287</v>
      </c>
      <c r="H14" s="12">
        <f>+'A.1 PRIHODI'!H22</f>
        <v>0</v>
      </c>
      <c r="I14" s="12">
        <f>+'A.1 PRIHODI'!I22+'B. RAČUN FIN'!I17</f>
        <v>391000</v>
      </c>
      <c r="J14" s="12">
        <f>+'A.1 PRIHODI'!J22</f>
        <v>13983</v>
      </c>
      <c r="K14" s="12">
        <f>+'A.1 PRIHODI'!K22</f>
        <v>714277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6">
        <v>2024</v>
      </c>
      <c r="B15" s="47"/>
      <c r="C15" s="48" t="s">
        <v>5195</v>
      </c>
      <c r="D15" s="30">
        <f t="shared" si="3"/>
        <v>-1698277</v>
      </c>
      <c r="E15" s="65"/>
      <c r="F15" s="65"/>
      <c r="G15" s="65">
        <v>-426000</v>
      </c>
      <c r="H15" s="65"/>
      <c r="I15" s="65">
        <v>-600000</v>
      </c>
      <c r="J15" s="65"/>
      <c r="K15" s="65">
        <v>-622470</v>
      </c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>
        <v>-49807</v>
      </c>
      <c r="X15" s="46"/>
      <c r="Y15" s="46"/>
      <c r="Z15" s="46"/>
      <c r="AA15" s="46"/>
      <c r="AB15" s="46"/>
      <c r="AC15" s="46"/>
    </row>
    <row r="16" spans="1:29" s="42" customFormat="1">
      <c r="A16" s="346">
        <v>2024</v>
      </c>
      <c r="B16" s="66"/>
      <c r="C16" s="67" t="s">
        <v>5266</v>
      </c>
      <c r="D16" s="30">
        <f t="shared" si="3"/>
        <v>10011800</v>
      </c>
      <c r="E16" s="12">
        <f>+E13+E14+E15</f>
        <v>8345614</v>
      </c>
      <c r="F16" s="12">
        <f t="shared" ref="F16:W16" si="5">+F13+F14+F15</f>
        <v>0</v>
      </c>
      <c r="G16" s="12">
        <f t="shared" si="5"/>
        <v>528287</v>
      </c>
      <c r="H16" s="12">
        <f t="shared" si="5"/>
        <v>0</v>
      </c>
      <c r="I16" s="12">
        <f t="shared" si="5"/>
        <v>391000</v>
      </c>
      <c r="J16" s="12">
        <f t="shared" si="5"/>
        <v>13983</v>
      </c>
      <c r="K16" s="12">
        <f t="shared" si="5"/>
        <v>714277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18639</v>
      </c>
    </row>
    <row r="17" spans="1:29" s="42" customFormat="1">
      <c r="A17" s="346">
        <v>2024</v>
      </c>
      <c r="B17" s="63"/>
      <c r="C17" s="64" t="s">
        <v>5267</v>
      </c>
      <c r="D17" s="30">
        <f t="shared" si="3"/>
        <v>10011800.360408787</v>
      </c>
      <c r="E17" s="82">
        <f>+'A.2 RASHODI'!E21+'B. RAČUN FIN'!E22</f>
        <v>8345614</v>
      </c>
      <c r="F17" s="82">
        <f>+'A.2 RASHODI'!F21+'B. RAČUN FIN'!F22</f>
        <v>0</v>
      </c>
      <c r="G17" s="82">
        <f>+'A.2 RASHODI'!G21+'B. RAČUN FIN'!G22</f>
        <v>528287.1960979494</v>
      </c>
      <c r="H17" s="82">
        <f>+'A.2 RASHODI'!H21+'B. RAČUN FIN'!H22</f>
        <v>0</v>
      </c>
      <c r="I17" s="82">
        <f>+'A.2 RASHODI'!I21+'B. RAČUN FIN'!I22</f>
        <v>391000.16431083682</v>
      </c>
      <c r="J17" s="82">
        <f>+'A.2 RASHODI'!J21+'B. RAČUN FIN'!J22</f>
        <v>13983</v>
      </c>
      <c r="K17" s="82">
        <f>+'A.2 RASHODI'!K21+'B. RAČUN FIN'!K22</f>
        <v>714277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18639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6">
        <v>2024</v>
      </c>
      <c r="B18" s="307"/>
      <c r="C18" s="307" t="s">
        <v>5276</v>
      </c>
      <c r="D18" s="69">
        <f t="shared" si="3"/>
        <v>-0.36040878621861339</v>
      </c>
      <c r="E18" s="69">
        <f>+E16-E17</f>
        <v>0</v>
      </c>
      <c r="F18" s="69">
        <f t="shared" ref="F18:W18" si="6">+F16-F17</f>
        <v>0</v>
      </c>
      <c r="G18" s="69">
        <f t="shared" si="6"/>
        <v>-0.19609794940333813</v>
      </c>
      <c r="H18" s="69">
        <f t="shared" si="6"/>
        <v>0</v>
      </c>
      <c r="I18" s="69">
        <f t="shared" si="6"/>
        <v>-0.16431083681527525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89.25">
      <c r="A20" s="345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6">
        <v>2025</v>
      </c>
      <c r="B21" s="47"/>
      <c r="C21" s="48" t="s">
        <v>11</v>
      </c>
      <c r="D21" s="30">
        <f t="shared" ref="D21:D26" si="7">SUM(E21:W21)</f>
        <v>1698277</v>
      </c>
      <c r="E21" s="131">
        <f t="shared" ref="E21:W21" si="8">-E15</f>
        <v>0</v>
      </c>
      <c r="F21" s="131">
        <f t="shared" si="8"/>
        <v>0</v>
      </c>
      <c r="G21" s="131">
        <f t="shared" si="8"/>
        <v>426000</v>
      </c>
      <c r="H21" s="131">
        <f t="shared" si="8"/>
        <v>0</v>
      </c>
      <c r="I21" s="131">
        <f t="shared" si="8"/>
        <v>600000</v>
      </c>
      <c r="J21" s="131">
        <f t="shared" si="8"/>
        <v>0</v>
      </c>
      <c r="K21" s="131">
        <f t="shared" si="8"/>
        <v>622470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49807</v>
      </c>
      <c r="X21" s="46"/>
      <c r="Y21" s="46"/>
      <c r="Z21" s="46"/>
      <c r="AA21" s="46"/>
      <c r="AB21" s="46"/>
      <c r="AC21" s="46"/>
    </row>
    <row r="22" spans="1:29" s="42" customFormat="1">
      <c r="A22" s="346">
        <v>2025</v>
      </c>
      <c r="B22" s="66"/>
      <c r="C22" s="67" t="s">
        <v>5264</v>
      </c>
      <c r="D22" s="30">
        <f t="shared" si="7"/>
        <v>9970064</v>
      </c>
      <c r="E22" s="12">
        <f>+'A.1 PRIHODI'!E36</f>
        <v>8383054</v>
      </c>
      <c r="F22" s="12">
        <f>+'A.1 PRIHODI'!F36</f>
        <v>0</v>
      </c>
      <c r="G22" s="12">
        <f>+'A.1 PRIHODI'!G36</f>
        <v>526753</v>
      </c>
      <c r="H22" s="12">
        <f>+'A.1 PRIHODI'!H36</f>
        <v>0</v>
      </c>
      <c r="I22" s="12">
        <f>+'A.1 PRIHODI'!I36+'B. RAČUN FIN'!I28</f>
        <v>396000</v>
      </c>
      <c r="J22" s="12">
        <f>+'A.1 PRIHODI'!J36</f>
        <v>0</v>
      </c>
      <c r="K22" s="12">
        <f>+'A.1 PRIHODI'!K36</f>
        <v>664257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6">
        <v>2025</v>
      </c>
      <c r="B23" s="47"/>
      <c r="C23" s="48" t="s">
        <v>5195</v>
      </c>
      <c r="D23" s="30">
        <f t="shared" si="7"/>
        <v>-1679033</v>
      </c>
      <c r="E23" s="65"/>
      <c r="F23" s="65"/>
      <c r="G23" s="65">
        <v>-426000</v>
      </c>
      <c r="H23" s="65"/>
      <c r="I23" s="65">
        <v>-600000</v>
      </c>
      <c r="J23" s="65"/>
      <c r="K23" s="65">
        <v>-622470</v>
      </c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>
        <v>-30563</v>
      </c>
      <c r="X23" s="46"/>
      <c r="Y23" s="46"/>
      <c r="Z23" s="46"/>
      <c r="AA23" s="46"/>
      <c r="AB23" s="46"/>
      <c r="AC23" s="46"/>
    </row>
    <row r="24" spans="1:29" s="42" customFormat="1">
      <c r="A24" s="346">
        <v>2025</v>
      </c>
      <c r="B24" s="66"/>
      <c r="C24" s="67" t="s">
        <v>5266</v>
      </c>
      <c r="D24" s="30">
        <f t="shared" si="7"/>
        <v>9989308</v>
      </c>
      <c r="E24" s="12">
        <f>+E21+E22+E23</f>
        <v>8383054</v>
      </c>
      <c r="F24" s="12">
        <f t="shared" ref="F24:W24" si="9">+F21+F22+F23</f>
        <v>0</v>
      </c>
      <c r="G24" s="12">
        <f t="shared" si="9"/>
        <v>526753</v>
      </c>
      <c r="H24" s="12">
        <f t="shared" si="9"/>
        <v>0</v>
      </c>
      <c r="I24" s="12">
        <f t="shared" si="9"/>
        <v>396000</v>
      </c>
      <c r="J24" s="12">
        <f t="shared" si="9"/>
        <v>0</v>
      </c>
      <c r="K24" s="12">
        <f t="shared" si="9"/>
        <v>664257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19244</v>
      </c>
    </row>
    <row r="25" spans="1:29" s="42" customFormat="1">
      <c r="A25" s="346">
        <v>2025</v>
      </c>
      <c r="B25" s="63"/>
      <c r="C25" s="64" t="s">
        <v>5267</v>
      </c>
      <c r="D25" s="30">
        <f t="shared" si="7"/>
        <v>9989307.5383237116</v>
      </c>
      <c r="E25" s="82">
        <f>+'A.2 RASHODI'!E38+'B. RAČUN FIN'!E33</f>
        <v>8383054</v>
      </c>
      <c r="F25" s="82">
        <f>+'A.2 RASHODI'!F38+'B. RAČUN FIN'!F33</f>
        <v>0</v>
      </c>
      <c r="G25" s="82">
        <f>+'A.2 RASHODI'!G38+'B. RAČUN FIN'!G33</f>
        <v>526752.41363063245</v>
      </c>
      <c r="H25" s="82">
        <f>+'A.2 RASHODI'!H38+'B. RAČUN FIN'!H33</f>
        <v>0</v>
      </c>
      <c r="I25" s="82">
        <f>+'A.2 RASHODI'!I38+'B. RAČUN FIN'!I33</f>
        <v>396000.12469307857</v>
      </c>
      <c r="J25" s="82">
        <f>+'A.2 RASHODI'!J38+'B. RAČUN FIN'!J33</f>
        <v>0</v>
      </c>
      <c r="K25" s="82">
        <f>+'A.2 RASHODI'!K38+'B. RAČUN FIN'!K33</f>
        <v>664257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19244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6">
        <v>2025</v>
      </c>
      <c r="B26" s="307"/>
      <c r="C26" s="307" t="s">
        <v>5276</v>
      </c>
      <c r="D26" s="69">
        <f t="shared" si="7"/>
        <v>0.46167628897819668</v>
      </c>
      <c r="E26" s="69">
        <f>+E24-E25</f>
        <v>0</v>
      </c>
      <c r="F26" s="69">
        <f t="shared" ref="F26:W26" si="10">+F24-F25</f>
        <v>0</v>
      </c>
      <c r="G26" s="69">
        <f t="shared" si="10"/>
        <v>0.58636936754919589</v>
      </c>
      <c r="H26" s="69">
        <f>+H24-H25</f>
        <v>0</v>
      </c>
      <c r="I26" s="69">
        <f t="shared" si="10"/>
        <v>-0.12469307857099921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66" t="s">
        <v>5087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</row>
    <row r="2" spans="1:22" ht="15.6" customHeight="1"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2" ht="15.6" customHeight="1">
      <c r="B3" s="366" t="s">
        <v>5088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15.6" customHeight="1"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</row>
    <row r="5" spans="1:22" ht="15.6" customHeight="1">
      <c r="B5" s="366" t="s">
        <v>5112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</row>
    <row r="6" spans="1:22" s="42" customFormat="1" ht="15">
      <c r="B6" s="41"/>
      <c r="C6" s="41"/>
      <c r="D6" s="41"/>
      <c r="S6" s="43"/>
      <c r="V6" s="313" t="s">
        <v>5269</v>
      </c>
    </row>
    <row r="7" spans="1:22" s="42" customFormat="1" ht="89.25">
      <c r="A7" s="345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6">
        <v>2023</v>
      </c>
      <c r="B8" s="307">
        <v>2023</v>
      </c>
      <c r="C8" s="307" t="s">
        <v>5196</v>
      </c>
      <c r="D8" s="69">
        <f>SUM(E8:V8)</f>
        <v>11297524</v>
      </c>
      <c r="E8" s="69">
        <f>+E19+E16</f>
        <v>8308350</v>
      </c>
      <c r="F8" s="69">
        <f>+F19+F16</f>
        <v>74782</v>
      </c>
      <c r="G8" s="69">
        <f>+G19+G16</f>
        <v>610524</v>
      </c>
      <c r="H8" s="69">
        <f t="shared" ref="H8:V8" si="0">+H19+H16</f>
        <v>0</v>
      </c>
      <c r="I8" s="69">
        <f t="shared" si="0"/>
        <v>387550</v>
      </c>
      <c r="J8" s="69">
        <f>+J19+J16</f>
        <v>13983</v>
      </c>
      <c r="K8" s="69">
        <f t="shared" si="0"/>
        <v>1020042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852643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29650</v>
      </c>
      <c r="U8" s="69">
        <f t="shared" si="0"/>
        <v>0</v>
      </c>
      <c r="V8" s="69">
        <f t="shared" si="0"/>
        <v>0</v>
      </c>
    </row>
    <row r="9" spans="1:22" s="42" customFormat="1">
      <c r="A9" s="346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6">
        <v>2023</v>
      </c>
      <c r="B10" s="49" t="s">
        <v>5093</v>
      </c>
      <c r="C10" s="62" t="s">
        <v>5092</v>
      </c>
      <c r="D10" s="30">
        <f t="shared" si="1"/>
        <v>1886668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13983</v>
      </c>
      <c r="K10" s="132">
        <f>SUMIFS('Unos prihoda i primitaka'!$G$3:$G$501,'Unos prihoda i primitaka'!$C$3:$C$501,"=52",'Unos prihoda i primitaka'!$L$3:$L$501,"=63")</f>
        <v>1020042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852643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6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5.5">
      <c r="A12" s="346">
        <v>2023</v>
      </c>
      <c r="B12" s="47" t="s">
        <v>5096</v>
      </c>
      <c r="C12" s="48" t="s">
        <v>5097</v>
      </c>
      <c r="D12" s="30">
        <f t="shared" si="1"/>
        <v>387550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387550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5.5">
      <c r="A13" s="346">
        <v>2023</v>
      </c>
      <c r="B13" s="151" t="s">
        <v>5099</v>
      </c>
      <c r="C13" s="48" t="s">
        <v>5098</v>
      </c>
      <c r="D13" s="30">
        <f t="shared" si="1"/>
        <v>640174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610524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29650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6">
        <v>2023</v>
      </c>
      <c r="B14" s="47" t="s">
        <v>5102</v>
      </c>
      <c r="C14" s="48" t="s">
        <v>5111</v>
      </c>
      <c r="D14" s="30">
        <f t="shared" si="1"/>
        <v>8383132</v>
      </c>
      <c r="E14" s="132">
        <f>SUMIFS('Unos prihoda i primitaka'!$G$3:$G$501,'Unos prihoda i primitaka'!$C$3:$C$501,"=11",'Unos prihoda i primitaka'!$L$3:$L$501,"=67")</f>
        <v>8308350</v>
      </c>
      <c r="F14" s="132">
        <f>SUMIFS('Unos prihoda i primitaka'!$G$3:$G$501,'Unos prihoda i primitaka'!$C$3:$C$501,"=12",'Unos prihoda i primitaka'!$L$3:$L$501,"=67")</f>
        <v>74782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6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6">
        <v>2023</v>
      </c>
      <c r="B16" s="50" t="s">
        <v>247</v>
      </c>
      <c r="C16" s="51" t="s">
        <v>248</v>
      </c>
      <c r="D16" s="30">
        <f>SUM(E16:V16)</f>
        <v>11297524</v>
      </c>
      <c r="E16" s="4">
        <f t="shared" ref="E16:V16" si="2">SUM(E9:E15)</f>
        <v>8308350</v>
      </c>
      <c r="F16" s="4">
        <f t="shared" si="2"/>
        <v>74782</v>
      </c>
      <c r="G16" s="4">
        <f t="shared" si="2"/>
        <v>610524</v>
      </c>
      <c r="H16" s="4">
        <f t="shared" si="2"/>
        <v>0</v>
      </c>
      <c r="I16" s="4">
        <f t="shared" si="2"/>
        <v>387550</v>
      </c>
      <c r="J16" s="4">
        <f t="shared" si="2"/>
        <v>13983</v>
      </c>
      <c r="K16" s="4">
        <f t="shared" si="2"/>
        <v>1020042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852643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29650</v>
      </c>
      <c r="U16" s="4">
        <f t="shared" si="2"/>
        <v>0</v>
      </c>
      <c r="V16" s="4">
        <f t="shared" si="2"/>
        <v>0</v>
      </c>
    </row>
    <row r="17" spans="1:22" s="42" customFormat="1">
      <c r="A17" s="346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6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6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89.25">
      <c r="A21" s="345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6">
        <v>2024</v>
      </c>
      <c r="B22" s="307">
        <v>2024</v>
      </c>
      <c r="C22" s="307" t="s">
        <v>5196</v>
      </c>
      <c r="D22" s="69">
        <f>SUM(E22:V22)</f>
        <v>9993161</v>
      </c>
      <c r="E22" s="69">
        <f t="shared" ref="E22:V22" si="4">+E33+E30</f>
        <v>8345614</v>
      </c>
      <c r="F22" s="69">
        <f t="shared" si="4"/>
        <v>0</v>
      </c>
      <c r="G22" s="69">
        <f t="shared" si="4"/>
        <v>528287</v>
      </c>
      <c r="H22" s="69">
        <f t="shared" si="4"/>
        <v>0</v>
      </c>
      <c r="I22" s="69">
        <f t="shared" si="4"/>
        <v>391000</v>
      </c>
      <c r="J22" s="69">
        <f t="shared" si="4"/>
        <v>13983</v>
      </c>
      <c r="K22" s="69">
        <f t="shared" si="4"/>
        <v>714277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6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 ht="25.5">
      <c r="A24" s="346">
        <v>2024</v>
      </c>
      <c r="B24" s="49" t="s">
        <v>5093</v>
      </c>
      <c r="C24" s="62" t="s">
        <v>5092</v>
      </c>
      <c r="D24" s="30">
        <f t="shared" si="5"/>
        <v>728260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13983</v>
      </c>
      <c r="K24" s="132">
        <f>SUMIFS('Unos prihoda i primitaka'!$H$3:$H$501,'Unos prihoda i primitaka'!$C$3:$C$501,"=52",'Unos prihoda i primitaka'!$L$3:$L$501,"=63")</f>
        <v>714277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6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5.5">
      <c r="A26" s="346">
        <v>2024</v>
      </c>
      <c r="B26" s="47" t="s">
        <v>5096</v>
      </c>
      <c r="C26" s="48" t="s">
        <v>5097</v>
      </c>
      <c r="D26" s="30">
        <f t="shared" si="5"/>
        <v>391000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391000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5.5">
      <c r="A27" s="346">
        <v>2024</v>
      </c>
      <c r="B27" s="151" t="s">
        <v>5099</v>
      </c>
      <c r="C27" s="48" t="s">
        <v>5098</v>
      </c>
      <c r="D27" s="30">
        <f t="shared" si="5"/>
        <v>528287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528287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6">
        <v>2024</v>
      </c>
      <c r="B28" s="47" t="s">
        <v>5102</v>
      </c>
      <c r="C28" s="48" t="s">
        <v>5111</v>
      </c>
      <c r="D28" s="30">
        <f t="shared" si="5"/>
        <v>8345614</v>
      </c>
      <c r="E28" s="132">
        <f>SUMIFS('Unos prihoda i primitaka'!$H$3:$H$501,'Unos prihoda i primitaka'!$C$3:$C$501,"=11",'Unos prihoda i primitaka'!$L$3:$L$501,"=67")</f>
        <v>8345614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6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6">
        <v>2024</v>
      </c>
      <c r="B30" s="50" t="s">
        <v>247</v>
      </c>
      <c r="C30" s="51" t="s">
        <v>248</v>
      </c>
      <c r="D30" s="30">
        <f t="shared" si="5"/>
        <v>9993161</v>
      </c>
      <c r="E30" s="4">
        <f t="shared" ref="E30:V30" si="6">SUM(E23:E29)</f>
        <v>8345614</v>
      </c>
      <c r="F30" s="4">
        <f t="shared" si="6"/>
        <v>0</v>
      </c>
      <c r="G30" s="4">
        <f t="shared" si="6"/>
        <v>528287</v>
      </c>
      <c r="H30" s="4">
        <f t="shared" si="6"/>
        <v>0</v>
      </c>
      <c r="I30" s="4">
        <f t="shared" si="6"/>
        <v>391000</v>
      </c>
      <c r="J30" s="4">
        <f t="shared" si="6"/>
        <v>13983</v>
      </c>
      <c r="K30" s="4">
        <f t="shared" si="6"/>
        <v>714277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6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6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6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89.25">
      <c r="A35" s="345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6">
        <v>2025</v>
      </c>
      <c r="B36" s="307">
        <v>2025</v>
      </c>
      <c r="C36" s="307" t="s">
        <v>5196</v>
      </c>
      <c r="D36" s="69">
        <f t="shared" ref="D36:D47" si="8">SUM(E36:V36)</f>
        <v>9970064</v>
      </c>
      <c r="E36" s="69">
        <f t="shared" ref="E36:V36" si="9">+E47+E44</f>
        <v>8383054</v>
      </c>
      <c r="F36" s="69">
        <f t="shared" si="9"/>
        <v>0</v>
      </c>
      <c r="G36" s="69">
        <f t="shared" si="9"/>
        <v>526753</v>
      </c>
      <c r="H36" s="69">
        <f t="shared" si="9"/>
        <v>0</v>
      </c>
      <c r="I36" s="69">
        <f t="shared" si="9"/>
        <v>396000</v>
      </c>
      <c r="J36" s="69">
        <f t="shared" si="9"/>
        <v>0</v>
      </c>
      <c r="K36" s="69">
        <f t="shared" si="9"/>
        <v>664257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6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 ht="25.5">
      <c r="A38" s="346">
        <v>2025</v>
      </c>
      <c r="B38" s="49" t="s">
        <v>5093</v>
      </c>
      <c r="C38" s="62" t="s">
        <v>5092</v>
      </c>
      <c r="D38" s="30">
        <f t="shared" si="8"/>
        <v>664257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664257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6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5.5">
      <c r="A40" s="346">
        <v>2025</v>
      </c>
      <c r="B40" s="47" t="s">
        <v>5096</v>
      </c>
      <c r="C40" s="48" t="s">
        <v>5097</v>
      </c>
      <c r="D40" s="30">
        <f t="shared" si="8"/>
        <v>396000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396000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5.5">
      <c r="A41" s="346">
        <v>2025</v>
      </c>
      <c r="B41" s="151" t="s">
        <v>5099</v>
      </c>
      <c r="C41" s="48" t="s">
        <v>5098</v>
      </c>
      <c r="D41" s="30">
        <f t="shared" si="8"/>
        <v>526753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526753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6">
        <v>2025</v>
      </c>
      <c r="B42" s="47" t="s">
        <v>5102</v>
      </c>
      <c r="C42" s="48" t="s">
        <v>5111</v>
      </c>
      <c r="D42" s="30">
        <f t="shared" si="8"/>
        <v>8383054</v>
      </c>
      <c r="E42" s="132">
        <f>SUMIFS('Unos prihoda i primitaka'!$I$3:$I$501,'Unos prihoda i primitaka'!$C$3:$C$501,"=11",'Unos prihoda i primitaka'!$L$3:$L$501,"=67")</f>
        <v>8383054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6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6">
        <v>2025</v>
      </c>
      <c r="B44" s="50" t="s">
        <v>247</v>
      </c>
      <c r="C44" s="51" t="s">
        <v>248</v>
      </c>
      <c r="D44" s="30">
        <f t="shared" si="8"/>
        <v>9970064</v>
      </c>
      <c r="E44" s="4">
        <f t="shared" ref="E44:V44" si="10">SUM(E37:E43)</f>
        <v>8383054</v>
      </c>
      <c r="F44" s="4">
        <f t="shared" si="10"/>
        <v>0</v>
      </c>
      <c r="G44" s="4">
        <f t="shared" si="10"/>
        <v>526753</v>
      </c>
      <c r="H44" s="4">
        <f t="shared" si="10"/>
        <v>0</v>
      </c>
      <c r="I44" s="4">
        <f t="shared" si="10"/>
        <v>396000</v>
      </c>
      <c r="J44" s="4">
        <f t="shared" si="10"/>
        <v>0</v>
      </c>
      <c r="K44" s="4">
        <f t="shared" si="10"/>
        <v>664257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6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6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6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66" t="s">
        <v>5114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3.75">
      <c r="A3" s="347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8">
        <v>2023</v>
      </c>
      <c r="B4" s="307">
        <v>2023</v>
      </c>
      <c r="C4" s="307" t="s">
        <v>259</v>
      </c>
      <c r="D4" s="69">
        <f>SUM(E4:W4)</f>
        <v>11297524.066825934</v>
      </c>
      <c r="E4" s="70">
        <f>E5+E13</f>
        <v>8308350</v>
      </c>
      <c r="F4" s="70">
        <f t="shared" ref="F4:W4" si="0">F5+F13</f>
        <v>74782</v>
      </c>
      <c r="G4" s="70">
        <f t="shared" si="0"/>
        <v>610523.75399827445</v>
      </c>
      <c r="H4" s="70">
        <f t="shared" si="0"/>
        <v>0</v>
      </c>
      <c r="I4" s="70">
        <f t="shared" si="0"/>
        <v>387550.31282765942</v>
      </c>
      <c r="J4" s="70">
        <f t="shared" si="0"/>
        <v>13983</v>
      </c>
      <c r="K4" s="70">
        <f>K5+K13</f>
        <v>1020042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852643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29650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8">
        <v>2023</v>
      </c>
      <c r="B5" s="71">
        <v>3</v>
      </c>
      <c r="C5" s="72" t="s">
        <v>197</v>
      </c>
      <c r="D5" s="73">
        <f t="shared" ref="D5:D18" si="1">SUM(E5:W5)</f>
        <v>10892661.376932776</v>
      </c>
      <c r="E5" s="78">
        <f t="shared" ref="E5:G5" si="2">SUM(E6:E12)</f>
        <v>8303084</v>
      </c>
      <c r="F5" s="78">
        <f t="shared" si="2"/>
        <v>74782</v>
      </c>
      <c r="G5" s="78">
        <f t="shared" si="2"/>
        <v>477426.75399827451</v>
      </c>
      <c r="H5" s="78">
        <f>SUM(H6:H12)</f>
        <v>0</v>
      </c>
      <c r="I5" s="78">
        <f t="shared" ref="I5:K5" si="3">SUM(I6:I12)</f>
        <v>329033.62293450127</v>
      </c>
      <c r="J5" s="78">
        <f t="shared" si="3"/>
        <v>13983</v>
      </c>
      <c r="K5" s="78">
        <f t="shared" si="3"/>
        <v>1009257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657197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27898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8">
        <v>2023</v>
      </c>
      <c r="B6" s="9">
        <v>31</v>
      </c>
      <c r="C6" s="10" t="s">
        <v>198</v>
      </c>
      <c r="D6" s="80">
        <f>SUM(E6:W6)</f>
        <v>8057465.202999535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7692874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87189.594531820272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71099.608467715167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156321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36948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13033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8">
        <v>2023</v>
      </c>
      <c r="B7" s="38">
        <v>32</v>
      </c>
      <c r="C7" s="13" t="s">
        <v>199</v>
      </c>
      <c r="D7" s="81">
        <f t="shared" si="1"/>
        <v>2186561.3878160464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600942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74782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387807.15946645424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243467.22834959184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13983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230466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620249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14865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8">
        <v>2023</v>
      </c>
      <c r="B8" s="38">
        <v>34</v>
      </c>
      <c r="C8" s="13" t="s">
        <v>200</v>
      </c>
      <c r="D8" s="81">
        <f t="shared" si="1"/>
        <v>17664.259738536064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6740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2430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8494.2597385360659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8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8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8">
        <v>2023</v>
      </c>
      <c r="B11" s="38">
        <v>37</v>
      </c>
      <c r="C11" s="13" t="s">
        <v>253</v>
      </c>
      <c r="D11" s="81">
        <f t="shared" si="1"/>
        <v>630970.52637865813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2528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5972.5263786581718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622470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8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8">
        <v>2023</v>
      </c>
      <c r="B13" s="76">
        <v>4</v>
      </c>
      <c r="C13" s="77" t="s">
        <v>203</v>
      </c>
      <c r="D13" s="75">
        <f t="shared" si="1"/>
        <v>404862.68989315815</v>
      </c>
      <c r="E13" s="79">
        <f t="shared" ref="E13:G13" si="6">SUM(E14:E18)</f>
        <v>5266</v>
      </c>
      <c r="F13" s="79">
        <f t="shared" si="6"/>
        <v>0</v>
      </c>
      <c r="G13" s="79">
        <f t="shared" si="6"/>
        <v>133097</v>
      </c>
      <c r="H13" s="79">
        <f>SUM(H14:H18)</f>
        <v>0</v>
      </c>
      <c r="I13" s="79">
        <f t="shared" ref="I13:K13" si="7">SUM(I14:I18)</f>
        <v>58516.689893158138</v>
      </c>
      <c r="J13" s="79">
        <f t="shared" si="7"/>
        <v>0</v>
      </c>
      <c r="K13" s="79">
        <f t="shared" si="7"/>
        <v>10785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195446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1752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8">
        <v>2023</v>
      </c>
      <c r="B14" s="9">
        <v>41</v>
      </c>
      <c r="C14" s="10" t="s">
        <v>254</v>
      </c>
      <c r="D14" s="81">
        <f t="shared" si="1"/>
        <v>111089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63089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48000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8">
        <v>2023</v>
      </c>
      <c r="B15" s="38">
        <v>42</v>
      </c>
      <c r="C15" s="13" t="s">
        <v>231</v>
      </c>
      <c r="D15" s="81">
        <f t="shared" si="1"/>
        <v>293773.68989315815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5266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70008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10516.689893158138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10785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195446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1752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8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8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8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347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8">
        <v>2024</v>
      </c>
      <c r="B21" s="307">
        <v>2024</v>
      </c>
      <c r="C21" s="307" t="s">
        <v>259</v>
      </c>
      <c r="D21" s="69">
        <f t="shared" ref="D21:D35" si="10">SUM(E21:W21)</f>
        <v>9993161.3604087867</v>
      </c>
      <c r="E21" s="70">
        <f>+E22+E30</f>
        <v>8345614</v>
      </c>
      <c r="F21" s="70">
        <f t="shared" ref="F21:W21" si="11">+F22+F30</f>
        <v>0</v>
      </c>
      <c r="G21" s="70">
        <f t="shared" si="11"/>
        <v>528287.1960979494</v>
      </c>
      <c r="H21" s="70">
        <f t="shared" si="11"/>
        <v>0</v>
      </c>
      <c r="I21" s="70">
        <f t="shared" si="11"/>
        <v>391000.16431083682</v>
      </c>
      <c r="J21" s="70">
        <f t="shared" si="11"/>
        <v>13983</v>
      </c>
      <c r="K21" s="70">
        <f t="shared" si="11"/>
        <v>714277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8">
        <v>2024</v>
      </c>
      <c r="B22" s="71">
        <v>3</v>
      </c>
      <c r="C22" s="72" t="s">
        <v>197</v>
      </c>
      <c r="D22" s="73">
        <f t="shared" si="10"/>
        <v>9845386.9758444484</v>
      </c>
      <c r="E22" s="78">
        <f t="shared" ref="E22:W22" si="12">SUM(E23:E29)</f>
        <v>8340348</v>
      </c>
      <c r="F22" s="78">
        <f t="shared" si="12"/>
        <v>0</v>
      </c>
      <c r="G22" s="78">
        <f t="shared" si="12"/>
        <v>420995.95195434336</v>
      </c>
      <c r="H22" s="78">
        <f>SUM(H23:H29)</f>
        <v>0</v>
      </c>
      <c r="I22" s="78">
        <f t="shared" si="12"/>
        <v>355783.02389010548</v>
      </c>
      <c r="J22" s="78">
        <f t="shared" si="12"/>
        <v>13983</v>
      </c>
      <c r="K22" s="78">
        <f t="shared" si="12"/>
        <v>714277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8">
        <v>2024</v>
      </c>
      <c r="B23" s="9">
        <v>31</v>
      </c>
      <c r="C23" s="10" t="s">
        <v>198</v>
      </c>
      <c r="D23" s="80">
        <f t="shared" si="10"/>
        <v>7943747.183887451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7729250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81946.37998540049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70694.803902050568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61856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8">
        <v>2024</v>
      </c>
      <c r="B24" s="38">
        <v>32</v>
      </c>
      <c r="C24" s="13" t="s">
        <v>199</v>
      </c>
      <c r="D24" s="81">
        <f t="shared" si="10"/>
        <v>1252794.6689893159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601830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337205.57196894288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269825.09702037292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13983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29951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8">
        <v>2024</v>
      </c>
      <c r="B25" s="38">
        <v>34</v>
      </c>
      <c r="C25" s="13" t="s">
        <v>200</v>
      </c>
      <c r="D25" s="81">
        <f t="shared" si="10"/>
        <v>17874.596589023822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6740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1844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9290.5965890238222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8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8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8">
        <v>2024</v>
      </c>
      <c r="B28" s="38">
        <v>37</v>
      </c>
      <c r="C28" s="13" t="s">
        <v>253</v>
      </c>
      <c r="D28" s="81">
        <f t="shared" si="10"/>
        <v>630970.52637865813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2528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5972.5263786581718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622470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8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8">
        <v>2024</v>
      </c>
      <c r="B30" s="76">
        <v>4</v>
      </c>
      <c r="C30" s="77" t="s">
        <v>203</v>
      </c>
      <c r="D30" s="75">
        <f t="shared" si="10"/>
        <v>147774.38456433738</v>
      </c>
      <c r="E30" s="79">
        <f t="shared" ref="E30:G30" si="13">SUM(E31:E35)</f>
        <v>5266</v>
      </c>
      <c r="F30" s="79">
        <f t="shared" si="13"/>
        <v>0</v>
      </c>
      <c r="G30" s="79">
        <f t="shared" si="13"/>
        <v>107291.24414360608</v>
      </c>
      <c r="H30" s="79">
        <f>SUM(H31:H35)</f>
        <v>0</v>
      </c>
      <c r="I30" s="79">
        <f t="shared" ref="I30:K30" si="14">SUM(I31:I35)</f>
        <v>35217.140420731303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8">
        <v>2024</v>
      </c>
      <c r="B31" s="9">
        <v>41</v>
      </c>
      <c r="C31" s="10" t="s">
        <v>254</v>
      </c>
      <c r="D31" s="81">
        <f t="shared" si="10"/>
        <v>68309.244143606076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48309.244143606076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20000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8">
        <v>2024</v>
      </c>
      <c r="B32" s="38">
        <v>42</v>
      </c>
      <c r="C32" s="13" t="s">
        <v>231</v>
      </c>
      <c r="D32" s="81">
        <f t="shared" si="10"/>
        <v>79465.140420731303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5266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58982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15217.140420731303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8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8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8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347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8">
        <v>2025</v>
      </c>
      <c r="B38" s="307">
        <v>2025</v>
      </c>
      <c r="C38" s="307" t="s">
        <v>259</v>
      </c>
      <c r="D38" s="69">
        <f t="shared" ref="D38:D52" si="17">SUM(E38:W38)</f>
        <v>9970063.5383237116</v>
      </c>
      <c r="E38" s="70">
        <f>E39+E47</f>
        <v>8383054</v>
      </c>
      <c r="F38" s="70">
        <f t="shared" ref="F38:W38" si="18">F39+F47</f>
        <v>0</v>
      </c>
      <c r="G38" s="70">
        <f t="shared" si="18"/>
        <v>526752.41363063245</v>
      </c>
      <c r="H38" s="70">
        <f t="shared" si="18"/>
        <v>0</v>
      </c>
      <c r="I38" s="70">
        <f t="shared" si="18"/>
        <v>396000.12469307857</v>
      </c>
      <c r="J38" s="70">
        <f t="shared" si="18"/>
        <v>0</v>
      </c>
      <c r="K38" s="70">
        <f t="shared" si="18"/>
        <v>664257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8">
        <v>2025</v>
      </c>
      <c r="B39" s="71">
        <v>3</v>
      </c>
      <c r="C39" s="72" t="s">
        <v>197</v>
      </c>
      <c r="D39" s="73">
        <f t="shared" si="17"/>
        <v>9827729.2576813325</v>
      </c>
      <c r="E39" s="78">
        <f t="shared" ref="E39:G39" si="19">SUM(E40:E46)</f>
        <v>8377788</v>
      </c>
      <c r="F39" s="78">
        <f t="shared" si="19"/>
        <v>0</v>
      </c>
      <c r="G39" s="78">
        <f t="shared" si="19"/>
        <v>420047.27340898541</v>
      </c>
      <c r="H39" s="78">
        <f>SUM(H40:H46)</f>
        <v>0</v>
      </c>
      <c r="I39" s="78">
        <f t="shared" ref="I39:K39" si="20">SUM(I40:I46)</f>
        <v>365636.98427234724</v>
      </c>
      <c r="J39" s="78">
        <f t="shared" si="20"/>
        <v>0</v>
      </c>
      <c r="K39" s="78">
        <f t="shared" si="20"/>
        <v>664257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8">
        <v>2025</v>
      </c>
      <c r="B40" s="9">
        <v>31</v>
      </c>
      <c r="C40" s="10" t="s">
        <v>198</v>
      </c>
      <c r="D40" s="80">
        <f t="shared" si="17"/>
        <v>7942954.183887451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7765797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81946.37998540049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70694.803902050568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24516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8">
        <v>2025</v>
      </c>
      <c r="B41" s="38">
        <v>32</v>
      </c>
      <c r="C41" s="13" t="s">
        <v>199</v>
      </c>
      <c r="D41" s="81">
        <f t="shared" si="17"/>
        <v>1236402.9508261997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602723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336729.89342358493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279679.05740261462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17271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8">
        <v>2025</v>
      </c>
      <c r="B42" s="38">
        <v>34</v>
      </c>
      <c r="C42" s="13" t="s">
        <v>200</v>
      </c>
      <c r="D42" s="81">
        <f t="shared" si="17"/>
        <v>17401.596589023822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6740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1371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9290.5965890238222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8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8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8">
        <v>2025</v>
      </c>
      <c r="B45" s="38">
        <v>37</v>
      </c>
      <c r="C45" s="13" t="s">
        <v>253</v>
      </c>
      <c r="D45" s="81">
        <f t="shared" si="17"/>
        <v>630970.52637865813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2528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5972.5263786581718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622470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8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8">
        <v>2025</v>
      </c>
      <c r="B47" s="76">
        <v>4</v>
      </c>
      <c r="C47" s="77" t="s">
        <v>203</v>
      </c>
      <c r="D47" s="75">
        <f t="shared" si="17"/>
        <v>142334.28064237838</v>
      </c>
      <c r="E47" s="79">
        <f t="shared" ref="E47:G47" si="23">SUM(E48:E52)</f>
        <v>5266</v>
      </c>
      <c r="F47" s="79">
        <f t="shared" si="23"/>
        <v>0</v>
      </c>
      <c r="G47" s="79">
        <f t="shared" si="23"/>
        <v>106705.14022164709</v>
      </c>
      <c r="H47" s="79">
        <f>SUM(H48:H52)</f>
        <v>0</v>
      </c>
      <c r="I47" s="79">
        <f t="shared" ref="I47:K47" si="24">SUM(I48:I52)</f>
        <v>30363.140420731303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8">
        <v>2025</v>
      </c>
      <c r="B48" s="9">
        <v>41</v>
      </c>
      <c r="C48" s="10" t="s">
        <v>254</v>
      </c>
      <c r="D48" s="81">
        <f t="shared" si="17"/>
        <v>67723.140221647089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47723.140221647089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20000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8">
        <v>2025</v>
      </c>
      <c r="B49" s="38">
        <v>42</v>
      </c>
      <c r="C49" s="13" t="s">
        <v>231</v>
      </c>
      <c r="D49" s="81">
        <f t="shared" si="17"/>
        <v>74611.140420731303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5266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58982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10363.140420731303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8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8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8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D17" sqref="D17"/>
    </sheetView>
  </sheetViews>
  <sheetFormatPr defaultRowHeight="15"/>
  <cols>
    <col min="1" max="1" width="9.140625" style="313" customWidth="1"/>
    <col min="2" max="2" width="34" customWidth="1"/>
    <col min="3" max="5" width="14.140625" customWidth="1"/>
  </cols>
  <sheetData>
    <row r="1" spans="1:193" s="32" customFormat="1" ht="24" customHeight="1">
      <c r="A1" s="366" t="s">
        <v>5116</v>
      </c>
      <c r="B1" s="366"/>
      <c r="C1" s="366"/>
      <c r="D1" s="366"/>
      <c r="E1" s="36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38.25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8">
        <f>+C6+C9+C11+C14+C25+C28+C30</f>
        <v>11297524.066825934</v>
      </c>
      <c r="D5" s="338">
        <f t="shared" ref="D5:E5" si="0">+D6+D9+D11+D14+D25+D28+D30</f>
        <v>9993161.3604087867</v>
      </c>
      <c r="E5" s="338">
        <f t="shared" si="0"/>
        <v>9970063.5383237116</v>
      </c>
    </row>
    <row r="6" spans="1:193">
      <c r="A6" s="312">
        <v>1</v>
      </c>
      <c r="B6" s="67" t="s">
        <v>5131</v>
      </c>
      <c r="C6" s="337">
        <f>+C7+C8</f>
        <v>8383132</v>
      </c>
      <c r="D6" s="337">
        <f t="shared" ref="D6:E6" si="1">+D7+D8</f>
        <v>8345614</v>
      </c>
      <c r="E6" s="337">
        <f t="shared" si="1"/>
        <v>8383054</v>
      </c>
    </row>
    <row r="7" spans="1:193">
      <c r="A7" s="309">
        <v>11</v>
      </c>
      <c r="B7" s="48" t="s">
        <v>5118</v>
      </c>
      <c r="C7" s="336">
        <f>+'A.2 RASHODI'!E4</f>
        <v>8308350</v>
      </c>
      <c r="D7" s="336">
        <f>+'A.2 RASHODI'!E21</f>
        <v>8345614</v>
      </c>
      <c r="E7" s="336">
        <f>+'A.2 RASHODI'!E38</f>
        <v>8383054</v>
      </c>
    </row>
    <row r="8" spans="1:193">
      <c r="A8" s="309">
        <v>12</v>
      </c>
      <c r="B8" s="48" t="s">
        <v>232</v>
      </c>
      <c r="C8" s="336">
        <f>+'A.2 RASHODI'!F4</f>
        <v>74782</v>
      </c>
      <c r="D8" s="336">
        <f>+'A.2 RASHODI'!F21</f>
        <v>0</v>
      </c>
      <c r="E8" s="336">
        <f>+'A.2 RASHODI'!F38</f>
        <v>0</v>
      </c>
    </row>
    <row r="9" spans="1:193">
      <c r="A9" s="312">
        <v>3</v>
      </c>
      <c r="B9" s="67" t="s">
        <v>5132</v>
      </c>
      <c r="C9" s="337">
        <f>+C10</f>
        <v>610523.75399827445</v>
      </c>
      <c r="D9" s="337">
        <f t="shared" ref="D9:E9" si="2">+D10</f>
        <v>528287.1960979494</v>
      </c>
      <c r="E9" s="337">
        <f t="shared" si="2"/>
        <v>526752.41363063245</v>
      </c>
    </row>
    <row r="10" spans="1:193">
      <c r="A10" s="309">
        <v>31</v>
      </c>
      <c r="B10" s="48" t="s">
        <v>5119</v>
      </c>
      <c r="C10" s="336">
        <f>+'A.2 RASHODI'!G4</f>
        <v>610523.75399827445</v>
      </c>
      <c r="D10" s="336">
        <f>+'A.2 RASHODI'!G21</f>
        <v>528287.1960979494</v>
      </c>
      <c r="E10" s="336">
        <f>+'A.2 RASHODI'!G38</f>
        <v>526752.41363063245</v>
      </c>
    </row>
    <row r="11" spans="1:193">
      <c r="A11" s="312">
        <v>4</v>
      </c>
      <c r="B11" s="67" t="s">
        <v>5133</v>
      </c>
      <c r="C11" s="337">
        <f>+C12+C13</f>
        <v>387550.31282765942</v>
      </c>
      <c r="D11" s="337">
        <f t="shared" ref="D11:E11" si="3">+D12+D13</f>
        <v>391000.16431083682</v>
      </c>
      <c r="E11" s="337">
        <f t="shared" si="3"/>
        <v>396000.12469307857</v>
      </c>
    </row>
    <row r="12" spans="1:193">
      <c r="A12" s="309">
        <v>41</v>
      </c>
      <c r="B12" s="48" t="s">
        <v>1209</v>
      </c>
      <c r="C12" s="336">
        <f>+'A.2 RASHODI'!H4</f>
        <v>0</v>
      </c>
      <c r="D12" s="336">
        <f>+'A.2 RASHODI'!H21</f>
        <v>0</v>
      </c>
      <c r="E12" s="336">
        <f>+'A.2 RASHODI'!H38</f>
        <v>0</v>
      </c>
    </row>
    <row r="13" spans="1:193">
      <c r="A13" s="309">
        <v>43</v>
      </c>
      <c r="B13" s="48" t="s">
        <v>5121</v>
      </c>
      <c r="C13" s="336">
        <f>+'A.2 RASHODI'!I4</f>
        <v>387550.31282765942</v>
      </c>
      <c r="D13" s="336">
        <f>+'A.2 RASHODI'!I21</f>
        <v>391000.16431083682</v>
      </c>
      <c r="E13" s="336">
        <f>+'A.2 RASHODI'!I38</f>
        <v>396000.12469307857</v>
      </c>
    </row>
    <row r="14" spans="1:193">
      <c r="A14" s="312">
        <v>5</v>
      </c>
      <c r="B14" s="67" t="s">
        <v>5134</v>
      </c>
      <c r="C14" s="337">
        <f>SUM(C15:C24)</f>
        <v>1886668</v>
      </c>
      <c r="D14" s="337">
        <f t="shared" ref="D14:E14" si="4">SUM(D15:D24)</f>
        <v>728260</v>
      </c>
      <c r="E14" s="337">
        <f t="shared" si="4"/>
        <v>664257</v>
      </c>
    </row>
    <row r="15" spans="1:193">
      <c r="A15" s="309">
        <v>51</v>
      </c>
      <c r="B15" s="48" t="s">
        <v>5122</v>
      </c>
      <c r="C15" s="336">
        <f>+'A.2 RASHODI'!J4</f>
        <v>13983</v>
      </c>
      <c r="D15" s="336">
        <f>+'A.2 RASHODI'!J21</f>
        <v>13983</v>
      </c>
      <c r="E15" s="336">
        <f>+'A.2 RASHODI'!J38</f>
        <v>0</v>
      </c>
    </row>
    <row r="16" spans="1:193">
      <c r="A16" s="309">
        <v>52</v>
      </c>
      <c r="B16" s="48" t="s">
        <v>5123</v>
      </c>
      <c r="C16" s="336">
        <f>+'A.2 RASHODI'!K4</f>
        <v>1020042</v>
      </c>
      <c r="D16" s="336">
        <f>+'A.2 RASHODI'!K21</f>
        <v>714277</v>
      </c>
      <c r="E16" s="336">
        <f>+'A.2 RASHODI'!K38</f>
        <v>664257</v>
      </c>
    </row>
    <row r="17" spans="1:5">
      <c r="A17" s="309">
        <v>552</v>
      </c>
      <c r="B17" s="48" t="s">
        <v>5124</v>
      </c>
      <c r="C17" s="336">
        <f>+'A.2 RASHODI'!L4</f>
        <v>0</v>
      </c>
      <c r="D17" s="336">
        <f>+'A.2 RASHODI'!L21</f>
        <v>0</v>
      </c>
      <c r="E17" s="336">
        <f>+'A.2 RASHODI'!L38</f>
        <v>0</v>
      </c>
    </row>
    <row r="18" spans="1:5">
      <c r="A18" s="309">
        <v>559</v>
      </c>
      <c r="B18" s="48" t="s">
        <v>5125</v>
      </c>
      <c r="C18" s="336">
        <f>+'A.2 RASHODI'!M4</f>
        <v>0</v>
      </c>
      <c r="D18" s="336">
        <f>+'A.2 RASHODI'!M21</f>
        <v>0</v>
      </c>
      <c r="E18" s="336">
        <f>+'A.2 RASHODI'!M38</f>
        <v>0</v>
      </c>
    </row>
    <row r="19" spans="1:5">
      <c r="A19" s="309">
        <v>561</v>
      </c>
      <c r="B19" s="48" t="s">
        <v>111</v>
      </c>
      <c r="C19" s="336">
        <f>+'A.2 RASHODI'!N4</f>
        <v>0</v>
      </c>
      <c r="D19" s="336">
        <f>+'A.2 RASHODI'!N21</f>
        <v>0</v>
      </c>
      <c r="E19" s="336">
        <f>+'A.2 RASHODI'!N38</f>
        <v>0</v>
      </c>
    </row>
    <row r="20" spans="1:5">
      <c r="A20" s="309">
        <v>563</v>
      </c>
      <c r="B20" s="48" t="s">
        <v>1750</v>
      </c>
      <c r="C20" s="336">
        <f>+'A.2 RASHODI'!O4</f>
        <v>852643</v>
      </c>
      <c r="D20" s="336">
        <f>+'A.2 RASHODI'!O21</f>
        <v>0</v>
      </c>
      <c r="E20" s="336">
        <f>+'A.2 RASHODI'!O38</f>
        <v>0</v>
      </c>
    </row>
    <row r="21" spans="1:5" ht="25.5">
      <c r="A21" s="309">
        <v>573</v>
      </c>
      <c r="B21" s="48" t="s">
        <v>1221</v>
      </c>
      <c r="C21" s="336">
        <f>+'A.2 RASHODI'!P4</f>
        <v>0</v>
      </c>
      <c r="D21" s="336">
        <f>+'A.2 RASHODI'!P21</f>
        <v>0</v>
      </c>
      <c r="E21" s="336">
        <f>+'A.2 RASHODI'!P38</f>
        <v>0</v>
      </c>
    </row>
    <row r="22" spans="1:5">
      <c r="A22" s="309">
        <v>575</v>
      </c>
      <c r="B22" s="48" t="s">
        <v>1223</v>
      </c>
      <c r="C22" s="336">
        <f>+'A.2 RASHODI'!Q4</f>
        <v>0</v>
      </c>
      <c r="D22" s="336">
        <f>+'A.2 RASHODI'!Q21</f>
        <v>0</v>
      </c>
      <c r="E22" s="336">
        <f>+'A.2 RASHODI'!Q38</f>
        <v>0</v>
      </c>
    </row>
    <row r="23" spans="1:5">
      <c r="A23" s="309">
        <v>576</v>
      </c>
      <c r="B23" s="48" t="s">
        <v>1703</v>
      </c>
      <c r="C23" s="336">
        <f>+'A.2 RASHODI'!R4</f>
        <v>0</v>
      </c>
      <c r="D23" s="336">
        <f>+'A.2 RASHODI'!R21</f>
        <v>0</v>
      </c>
      <c r="E23" s="336">
        <f>+'A.2 RASHODI'!R38</f>
        <v>0</v>
      </c>
    </row>
    <row r="24" spans="1:5">
      <c r="A24" s="309">
        <v>581</v>
      </c>
      <c r="B24" s="48" t="s">
        <v>1781</v>
      </c>
      <c r="C24" s="336">
        <f>+'A.2 RASHODI'!S4</f>
        <v>0</v>
      </c>
      <c r="D24" s="336">
        <f>+'A.2 RASHODI'!S21</f>
        <v>0</v>
      </c>
      <c r="E24" s="336">
        <f>+'A.2 RASHODI'!S38</f>
        <v>0</v>
      </c>
    </row>
    <row r="25" spans="1:5">
      <c r="A25" s="312">
        <v>6</v>
      </c>
      <c r="B25" s="67" t="s">
        <v>5135</v>
      </c>
      <c r="C25" s="337">
        <f>+C26+C27</f>
        <v>29650</v>
      </c>
      <c r="D25" s="337">
        <f t="shared" ref="D25:E25" si="5">+D26+D27</f>
        <v>0</v>
      </c>
      <c r="E25" s="337">
        <f t="shared" si="5"/>
        <v>0</v>
      </c>
    </row>
    <row r="26" spans="1:5">
      <c r="A26" s="309">
        <v>61</v>
      </c>
      <c r="B26" s="48" t="s">
        <v>1684</v>
      </c>
      <c r="C26" s="336">
        <f>+'A.2 RASHODI'!T4</f>
        <v>29650</v>
      </c>
      <c r="D26" s="336">
        <f>+'A.2 RASHODI'!T21</f>
        <v>0</v>
      </c>
      <c r="E26" s="336">
        <f>+'A.2 RASHODI'!T38</f>
        <v>0</v>
      </c>
    </row>
    <row r="27" spans="1:5">
      <c r="A27" s="309">
        <v>63</v>
      </c>
      <c r="B27" s="48" t="s">
        <v>5129</v>
      </c>
      <c r="C27" s="336">
        <f>+'A.2 RASHODI'!U4</f>
        <v>0</v>
      </c>
      <c r="D27" s="336">
        <f>+'A.2 RASHODI'!U21</f>
        <v>0</v>
      </c>
      <c r="E27" s="336">
        <f>+'A.2 RASHODI'!U38</f>
        <v>0</v>
      </c>
    </row>
    <row r="28" spans="1:5" ht="38.25">
      <c r="A28" s="312">
        <v>7</v>
      </c>
      <c r="B28" s="67" t="s">
        <v>5136</v>
      </c>
      <c r="C28" s="337">
        <f>+C29</f>
        <v>0</v>
      </c>
      <c r="D28" s="337">
        <f t="shared" ref="D28:E28" si="6">+D29</f>
        <v>0</v>
      </c>
      <c r="E28" s="337">
        <f t="shared" si="6"/>
        <v>0</v>
      </c>
    </row>
    <row r="29" spans="1:5" ht="25.5">
      <c r="A29" s="309">
        <v>71</v>
      </c>
      <c r="B29" s="48" t="s">
        <v>5130</v>
      </c>
      <c r="C29" s="336">
        <f>+'A.2 RASHODI'!V4</f>
        <v>0</v>
      </c>
      <c r="D29" s="336">
        <f>+'A.2 RASHODI'!V21</f>
        <v>0</v>
      </c>
      <c r="E29" s="336">
        <f>+'A.2 RASHODI'!V38</f>
        <v>0</v>
      </c>
    </row>
    <row r="30" spans="1:5">
      <c r="A30" s="312">
        <v>8</v>
      </c>
      <c r="B30" s="67" t="s">
        <v>5137</v>
      </c>
      <c r="C30" s="337">
        <f>+C31</f>
        <v>0</v>
      </c>
      <c r="D30" s="337">
        <f t="shared" ref="D30:E30" si="7">+D31</f>
        <v>0</v>
      </c>
      <c r="E30" s="337">
        <f t="shared" si="7"/>
        <v>0</v>
      </c>
    </row>
    <row r="31" spans="1:5">
      <c r="A31" s="309">
        <v>81</v>
      </c>
      <c r="B31" s="48" t="s">
        <v>56</v>
      </c>
      <c r="C31" s="336">
        <f>+'A.2 RASHODI'!W4</f>
        <v>0</v>
      </c>
      <c r="D31" s="336">
        <f>+'A.2 RASHODI'!W21</f>
        <v>0</v>
      </c>
      <c r="E31" s="336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84"/>
  <sheetViews>
    <sheetView workbookViewId="0">
      <pane xSplit="1" ySplit="4" topLeftCell="B50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330" bestFit="1" customWidth="1"/>
    <col min="2" max="2" width="41.85546875" style="308" customWidth="1"/>
    <col min="3" max="5" width="15.85546875" customWidth="1"/>
  </cols>
  <sheetData>
    <row r="1" spans="1:193" s="32" customFormat="1" ht="24" customHeight="1">
      <c r="A1" s="366" t="s">
        <v>5141</v>
      </c>
      <c r="B1" s="366"/>
      <c r="C1" s="366"/>
      <c r="D1" s="366"/>
      <c r="E1" s="36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5.5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8"/>
      <c r="B5" s="68" t="s">
        <v>5142</v>
      </c>
      <c r="C5" s="70">
        <f>+C6+C15+C21+C28+C38+C45+C52+C59+C66+C75</f>
        <v>10161813.066825934</v>
      </c>
      <c r="D5" s="70">
        <f t="shared" ref="D5:E5" si="0">+D6+D15+D21+D28+D38+D45+D52+D59+D66+D75</f>
        <v>9997817.3604087848</v>
      </c>
      <c r="E5" s="70">
        <f t="shared" si="0"/>
        <v>9989307.5383237097</v>
      </c>
    </row>
    <row r="6" spans="1:193">
      <c r="A6" s="310">
        <v>1</v>
      </c>
      <c r="B6" s="67" t="s">
        <v>5143</v>
      </c>
      <c r="C6" s="337">
        <f>SUM(C7:C14)</f>
        <v>0</v>
      </c>
      <c r="D6" s="337">
        <f>SUM(D7:D14)</f>
        <v>0</v>
      </c>
      <c r="E6" s="337">
        <f>SUM(E7:E14)</f>
        <v>0</v>
      </c>
    </row>
    <row r="7" spans="1:193" ht="25.5">
      <c r="A7" s="329">
        <v>11</v>
      </c>
      <c r="B7" s="48" t="s">
        <v>5144</v>
      </c>
      <c r="C7" s="336">
        <f>SUMIF('Unos rashoda i izdataka'!$R$3:$R$501,'A.4 RASHODI FUNK'!$A7,'Unos rashoda i izdataka'!$J$3:$J$501)+SUMIF('Unos rashoda P4'!$T$3:$T$501,'A.4 RASHODI FUNK'!$A7,'Unos rashoda P4'!$H$3:$H$501)</f>
        <v>0</v>
      </c>
      <c r="D7" s="336">
        <f>SUMIF('Unos rashoda i izdataka'!$R$3:$R$501,'A.4 RASHODI FUNK'!$A7,'Unos rashoda i izdataka'!$K$3:$K$501)+SUMIF('Unos rashoda P4'!$T$3:$T$501,'A.4 RASHODI FUNK'!$A7,'Unos rashoda P4'!$I$3:$I$501)</f>
        <v>0</v>
      </c>
      <c r="E7" s="336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29">
        <v>12</v>
      </c>
      <c r="B8" s="48" t="s">
        <v>5145</v>
      </c>
      <c r="C8" s="336">
        <f>SUMIF('Unos rashoda i izdataka'!$R$3:$R$501,'A.4 RASHODI FUNK'!$A8,'Unos rashoda i izdataka'!$J$3:$J$501)+SUMIF('Unos rashoda P4'!$T$3:$T$501,'A.4 RASHODI FUNK'!$A8,'Unos rashoda P4'!$H$3:$H$501)</f>
        <v>0</v>
      </c>
      <c r="D8" s="336">
        <f>SUMIF('Unos rashoda i izdataka'!$R$3:$R$501,'A.4 RASHODI FUNK'!$A8,'Unos rashoda i izdataka'!$K$3:$K$501)+SUMIF('Unos rashoda P4'!$T$3:$T$501,'A.4 RASHODI FUNK'!$A8,'Unos rashoda P4'!$I$3:$I$501)</f>
        <v>0</v>
      </c>
      <c r="E8" s="336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29">
        <v>13</v>
      </c>
      <c r="B9" s="48" t="s">
        <v>5147</v>
      </c>
      <c r="C9" s="336">
        <f>SUMIF('Unos rashoda i izdataka'!$R$3:$R$501,'A.4 RASHODI FUNK'!$A9,'Unos rashoda i izdataka'!$J$3:$J$501)+SUMIF('Unos rashoda P4'!$T$3:$T$501,'A.4 RASHODI FUNK'!$A9,'Unos rashoda P4'!$H$3:$H$501)</f>
        <v>0</v>
      </c>
      <c r="D9" s="336">
        <f>SUMIF('Unos rashoda i izdataka'!$R$3:$R$501,'A.4 RASHODI FUNK'!$A9,'Unos rashoda i izdataka'!$K$3:$K$501)+SUMIF('Unos rashoda P4'!$T$3:$T$501,'A.4 RASHODI FUNK'!$A9,'Unos rashoda P4'!$I$3:$I$501)</f>
        <v>0</v>
      </c>
      <c r="E9" s="336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29">
        <v>14</v>
      </c>
      <c r="B10" s="48" t="s">
        <v>5197</v>
      </c>
      <c r="C10" s="336">
        <f>SUMIF('Unos rashoda i izdataka'!$R$3:$R$501,'A.4 RASHODI FUNK'!$A10,'Unos rashoda i izdataka'!$J$3:$J$501)+SUMIF('Unos rashoda P4'!$T$3:$T$501,'A.4 RASHODI FUNK'!$A10,'Unos rashoda P4'!$H$3:$H$501)</f>
        <v>0</v>
      </c>
      <c r="D10" s="336">
        <f>SUMIF('Unos rashoda i izdataka'!$R$3:$R$501,'A.4 RASHODI FUNK'!$A10,'Unos rashoda i izdataka'!$K$3:$K$501)+SUMIF('Unos rashoda P4'!$T$3:$T$501,'A.4 RASHODI FUNK'!$A10,'Unos rashoda P4'!$I$3:$I$501)</f>
        <v>0</v>
      </c>
      <c r="E10" s="336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29">
        <v>15</v>
      </c>
      <c r="B11" s="48" t="s">
        <v>5154</v>
      </c>
      <c r="C11" s="336">
        <f>SUMIF('Unos rashoda i izdataka'!$R$3:$R$501,'A.4 RASHODI FUNK'!$A11,'Unos rashoda i izdataka'!$J$3:$J$501)+SUMIF('Unos rashoda P4'!$T$3:$T$501,'A.4 RASHODI FUNK'!$A11,'Unos rashoda P4'!$H$3:$H$501)</f>
        <v>0</v>
      </c>
      <c r="D11" s="336">
        <f>SUMIF('Unos rashoda i izdataka'!$R$3:$R$501,'A.4 RASHODI FUNK'!$A11,'Unos rashoda i izdataka'!$K$3:$K$501)+SUMIF('Unos rashoda P4'!$T$3:$T$501,'A.4 RASHODI FUNK'!$A11,'Unos rashoda P4'!$I$3:$I$501)</f>
        <v>0</v>
      </c>
      <c r="E11" s="336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29">
        <v>16</v>
      </c>
      <c r="B12" s="48" t="s">
        <v>5198</v>
      </c>
      <c r="C12" s="336">
        <f>SUMIF('Unos rashoda i izdataka'!$R$3:$R$501,'A.4 RASHODI FUNK'!$A12,'Unos rashoda i izdataka'!$J$3:$J$501)+SUMIF('Unos rashoda P4'!$T$3:$T$501,'A.4 RASHODI FUNK'!$A12,'Unos rashoda P4'!$H$3:$H$501)</f>
        <v>0</v>
      </c>
      <c r="D12" s="336">
        <f>SUMIF('Unos rashoda i izdataka'!$R$3:$R$501,'A.4 RASHODI FUNK'!$A12,'Unos rashoda i izdataka'!$K$3:$K$501)+SUMIF('Unos rashoda P4'!$T$3:$T$501,'A.4 RASHODI FUNK'!$A12,'Unos rashoda P4'!$I$3:$I$501)</f>
        <v>0</v>
      </c>
      <c r="E12" s="336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29">
        <v>17</v>
      </c>
      <c r="B13" s="48" t="s">
        <v>5199</v>
      </c>
      <c r="C13" s="336">
        <f>SUMIF('Unos rashoda i izdataka'!$R$3:$R$501,'A.4 RASHODI FUNK'!$A13,'Unos rashoda i izdataka'!$J$3:$J$501)+SUMIF('Unos rashoda P4'!$T$3:$T$501,'A.4 RASHODI FUNK'!$A13,'Unos rashoda P4'!$H$3:$H$501)</f>
        <v>0</v>
      </c>
      <c r="D13" s="336">
        <f>SUMIF('Unos rashoda i izdataka'!$R$3:$R$501,'A.4 RASHODI FUNK'!$A13,'Unos rashoda i izdataka'!$K$3:$K$501)+SUMIF('Unos rashoda P4'!$T$3:$T$501,'A.4 RASHODI FUNK'!$A13,'Unos rashoda P4'!$I$3:$I$501)</f>
        <v>0</v>
      </c>
      <c r="E13" s="336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29">
        <v>18</v>
      </c>
      <c r="B14" s="48" t="s">
        <v>5166</v>
      </c>
      <c r="C14" s="336">
        <f>SUMIF('Unos rashoda i izdataka'!$R$3:$R$501,'A.4 RASHODI FUNK'!$A14,'Unos rashoda i izdataka'!$J$3:$J$501)+SUMIF('Unos rashoda P4'!$T$3:$T$501,'A.4 RASHODI FUNK'!$A14,'Unos rashoda P4'!$H$3:$H$501)</f>
        <v>0</v>
      </c>
      <c r="D14" s="336">
        <f>SUMIF('Unos rashoda i izdataka'!$R$3:$R$501,'A.4 RASHODI FUNK'!$A14,'Unos rashoda i izdataka'!$K$3:$K$501)+SUMIF('Unos rashoda P4'!$T$3:$T$501,'A.4 RASHODI FUNK'!$A14,'Unos rashoda P4'!$I$3:$I$501)</f>
        <v>0</v>
      </c>
      <c r="E14" s="336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7">
        <f>SUM(C16:C20)</f>
        <v>0</v>
      </c>
      <c r="D15" s="337">
        <f>SUM(D16:D20)</f>
        <v>0</v>
      </c>
      <c r="E15" s="337">
        <f>SUM(E16:E20)</f>
        <v>0</v>
      </c>
    </row>
    <row r="16" spans="1:193">
      <c r="A16" s="329">
        <v>21</v>
      </c>
      <c r="B16" s="48" t="s">
        <v>5201</v>
      </c>
      <c r="C16" s="336">
        <f>SUMIF('Unos rashoda i izdataka'!$R$3:$R$501,'A.4 RASHODI FUNK'!$A16,'Unos rashoda i izdataka'!$J$3:$J$501)+SUMIF('Unos rashoda P4'!$T$3:$T$501,'A.4 RASHODI FUNK'!$A16,'Unos rashoda P4'!$H$3:$H$501)</f>
        <v>0</v>
      </c>
      <c r="D16" s="336">
        <f>SUMIF('Unos rashoda i izdataka'!$R$3:$R$501,'A.4 RASHODI FUNK'!$A16,'Unos rashoda i izdataka'!$K$3:$K$501)+SUMIF('Unos rashoda P4'!$T$3:$T$501,'A.4 RASHODI FUNK'!$A16,'Unos rashoda P4'!$I$3:$I$501)</f>
        <v>0</v>
      </c>
      <c r="E16" s="336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29">
        <v>22</v>
      </c>
      <c r="B17" s="48" t="s">
        <v>5202</v>
      </c>
      <c r="C17" s="336">
        <f>SUMIF('Unos rashoda i izdataka'!$R$3:$R$501,'A.4 RASHODI FUNK'!$A17,'Unos rashoda i izdataka'!$J$3:$J$501)+SUMIF('Unos rashoda P4'!$T$3:$T$501,'A.4 RASHODI FUNK'!$A17,'Unos rashoda P4'!$H$3:$H$501)</f>
        <v>0</v>
      </c>
      <c r="D17" s="336">
        <f>SUMIF('Unos rashoda i izdataka'!$R$3:$R$501,'A.4 RASHODI FUNK'!$A17,'Unos rashoda i izdataka'!$K$3:$K$501)+SUMIF('Unos rashoda P4'!$T$3:$T$501,'A.4 RASHODI FUNK'!$A17,'Unos rashoda P4'!$I$3:$I$501)</f>
        <v>0</v>
      </c>
      <c r="E17" s="336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29">
        <v>23</v>
      </c>
      <c r="B18" s="48" t="s">
        <v>5203</v>
      </c>
      <c r="C18" s="336">
        <f>SUMIF('Unos rashoda i izdataka'!$R$3:$R$501,'A.4 RASHODI FUNK'!$A18,'Unos rashoda i izdataka'!$J$3:$J$501)+SUMIF('Unos rashoda P4'!$T$3:$T$501,'A.4 RASHODI FUNK'!$A18,'Unos rashoda P4'!$H$3:$H$501)</f>
        <v>0</v>
      </c>
      <c r="D18" s="336">
        <f>SUMIF('Unos rashoda i izdataka'!$R$3:$R$501,'A.4 RASHODI FUNK'!$A18,'Unos rashoda i izdataka'!$K$3:$K$501)+SUMIF('Unos rashoda P4'!$T$3:$T$501,'A.4 RASHODI FUNK'!$A18,'Unos rashoda P4'!$I$3:$I$501)</f>
        <v>0</v>
      </c>
      <c r="E18" s="336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29">
        <v>24</v>
      </c>
      <c r="B19" s="48" t="s">
        <v>5204</v>
      </c>
      <c r="C19" s="336">
        <f>SUMIF('Unos rashoda i izdataka'!$R$3:$R$501,'A.4 RASHODI FUNK'!$A19,'Unos rashoda i izdataka'!$J$3:$J$501)+SUMIF('Unos rashoda P4'!$T$3:$T$501,'A.4 RASHODI FUNK'!$A19,'Unos rashoda P4'!$H$3:$H$501)</f>
        <v>0</v>
      </c>
      <c r="D19" s="336">
        <f>SUMIF('Unos rashoda i izdataka'!$R$3:$R$501,'A.4 RASHODI FUNK'!$A19,'Unos rashoda i izdataka'!$K$3:$K$501)+SUMIF('Unos rashoda P4'!$T$3:$T$501,'A.4 RASHODI FUNK'!$A19,'Unos rashoda P4'!$I$3:$I$501)</f>
        <v>0</v>
      </c>
      <c r="E19" s="336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29">
        <v>25</v>
      </c>
      <c r="B20" s="48" t="s">
        <v>5205</v>
      </c>
      <c r="C20" s="336">
        <f>SUMIF('Unos rashoda i izdataka'!$R$3:$R$501,'A.4 RASHODI FUNK'!$A20,'Unos rashoda i izdataka'!$J$3:$J$501)+SUMIF('Unos rashoda P4'!$T$3:$T$501,'A.4 RASHODI FUNK'!$A20,'Unos rashoda P4'!$H$3:$H$501)</f>
        <v>0</v>
      </c>
      <c r="D20" s="336">
        <f>SUMIF('Unos rashoda i izdataka'!$R$3:$R$501,'A.4 RASHODI FUNK'!$A20,'Unos rashoda i izdataka'!$K$3:$K$501)+SUMIF('Unos rashoda P4'!$T$3:$T$501,'A.4 RASHODI FUNK'!$A20,'Unos rashoda P4'!$I$3:$I$501)</f>
        <v>0</v>
      </c>
      <c r="E20" s="336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4">
        <f>SUM(C22:C27)</f>
        <v>0</v>
      </c>
      <c r="D21" s="344">
        <f>SUM(D22:D27)</f>
        <v>0</v>
      </c>
      <c r="E21" s="344">
        <f>SUM(E22:E27)</f>
        <v>0</v>
      </c>
    </row>
    <row r="22" spans="1:5">
      <c r="A22" s="329">
        <v>31</v>
      </c>
      <c r="B22" s="48" t="s">
        <v>5207</v>
      </c>
      <c r="C22" s="336">
        <f>SUMIF('Unos rashoda i izdataka'!$R$3:$R$501,'A.4 RASHODI FUNK'!$A22,'Unos rashoda i izdataka'!$J$3:$J$501)+SUMIF('Unos rashoda P4'!$T$3:$T$501,'A.4 RASHODI FUNK'!$A22,'Unos rashoda P4'!$H$3:$H$501)</f>
        <v>0</v>
      </c>
      <c r="D22" s="336">
        <f>SUMIF('Unos rashoda i izdataka'!$R$3:$R$501,'A.4 RASHODI FUNK'!$A22,'Unos rashoda i izdataka'!$K$3:$K$501)+SUMIF('Unos rashoda P4'!$T$3:$T$501,'A.4 RASHODI FUNK'!$A22,'Unos rashoda P4'!$I$3:$I$501)</f>
        <v>0</v>
      </c>
      <c r="E22" s="336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29">
        <v>32</v>
      </c>
      <c r="B23" s="48" t="s">
        <v>5208</v>
      </c>
      <c r="C23" s="336">
        <f>SUMIF('Unos rashoda i izdataka'!$R$3:$R$501,'A.4 RASHODI FUNK'!$A23,'Unos rashoda i izdataka'!$J$3:$J$501)+SUMIF('Unos rashoda P4'!$T$3:$T$501,'A.4 RASHODI FUNK'!$A23,'Unos rashoda P4'!$H$3:$H$501)</f>
        <v>0</v>
      </c>
      <c r="D23" s="336">
        <f>SUMIF('Unos rashoda i izdataka'!$R$3:$R$501,'A.4 RASHODI FUNK'!$A23,'Unos rashoda i izdataka'!$K$3:$K$501)+SUMIF('Unos rashoda P4'!$T$3:$T$501,'A.4 RASHODI FUNK'!$A23,'Unos rashoda P4'!$I$3:$I$501)</f>
        <v>0</v>
      </c>
      <c r="E23" s="336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29">
        <v>33</v>
      </c>
      <c r="B24" s="48" t="s">
        <v>5209</v>
      </c>
      <c r="C24" s="336">
        <f>SUMIF('Unos rashoda i izdataka'!$R$3:$R$501,'A.4 RASHODI FUNK'!$A24,'Unos rashoda i izdataka'!$J$3:$J$501)+SUMIF('Unos rashoda P4'!$T$3:$T$501,'A.4 RASHODI FUNK'!$A24,'Unos rashoda P4'!$H$3:$H$501)</f>
        <v>0</v>
      </c>
      <c r="D24" s="336">
        <f>SUMIF('Unos rashoda i izdataka'!$R$3:$R$501,'A.4 RASHODI FUNK'!$A24,'Unos rashoda i izdataka'!$K$3:$K$501)+SUMIF('Unos rashoda P4'!$T$3:$T$501,'A.4 RASHODI FUNK'!$A24,'Unos rashoda P4'!$I$3:$I$501)</f>
        <v>0</v>
      </c>
      <c r="E24" s="336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29">
        <v>34</v>
      </c>
      <c r="B25" s="48" t="s">
        <v>5210</v>
      </c>
      <c r="C25" s="336">
        <f>SUMIF('Unos rashoda i izdataka'!$R$3:$R$501,'A.4 RASHODI FUNK'!$A25,'Unos rashoda i izdataka'!$J$3:$J$501)+SUMIF('Unos rashoda P4'!$T$3:$T$501,'A.4 RASHODI FUNK'!$A25,'Unos rashoda P4'!$H$3:$H$501)</f>
        <v>0</v>
      </c>
      <c r="D25" s="336">
        <f>SUMIF('Unos rashoda i izdataka'!$R$3:$R$501,'A.4 RASHODI FUNK'!$A25,'Unos rashoda i izdataka'!$K$3:$K$501)+SUMIF('Unos rashoda P4'!$T$3:$T$501,'A.4 RASHODI FUNK'!$A25,'Unos rashoda P4'!$I$3:$I$501)</f>
        <v>0</v>
      </c>
      <c r="E25" s="336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29">
        <v>35</v>
      </c>
      <c r="B26" s="48" t="s">
        <v>5211</v>
      </c>
      <c r="C26" s="336">
        <f>SUMIF('Unos rashoda i izdataka'!$R$3:$R$501,'A.4 RASHODI FUNK'!$A26,'Unos rashoda i izdataka'!$J$3:$J$501)+SUMIF('Unos rashoda P4'!$T$3:$T$501,'A.4 RASHODI FUNK'!$A26,'Unos rashoda P4'!$H$3:$H$501)</f>
        <v>0</v>
      </c>
      <c r="D26" s="336">
        <f>SUMIF('Unos rashoda i izdataka'!$R$3:$R$501,'A.4 RASHODI FUNK'!$A26,'Unos rashoda i izdataka'!$K$3:$K$501)+SUMIF('Unos rashoda P4'!$T$3:$T$501,'A.4 RASHODI FUNK'!$A26,'Unos rashoda P4'!$I$3:$I$501)</f>
        <v>0</v>
      </c>
      <c r="E26" s="336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29">
        <v>36</v>
      </c>
      <c r="B27" s="48" t="s">
        <v>5212</v>
      </c>
      <c r="C27" s="336">
        <f>SUMIF('Unos rashoda i izdataka'!$R$3:$R$501,'A.4 RASHODI FUNK'!$A27,'Unos rashoda i izdataka'!$J$3:$J$501)+SUMIF('Unos rashoda P4'!$T$3:$T$501,'A.4 RASHODI FUNK'!$A27,'Unos rashoda P4'!$H$3:$H$501)</f>
        <v>0</v>
      </c>
      <c r="D27" s="336">
        <f>SUMIF('Unos rashoda i izdataka'!$R$3:$R$501,'A.4 RASHODI FUNK'!$A27,'Unos rashoda i izdataka'!$K$3:$K$501)+SUMIF('Unos rashoda P4'!$T$3:$T$501,'A.4 RASHODI FUNK'!$A27,'Unos rashoda P4'!$I$3:$I$501)</f>
        <v>0</v>
      </c>
      <c r="E27" s="336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4">
        <f>SUM(C29:C37)</f>
        <v>0</v>
      </c>
      <c r="D28" s="344">
        <f>SUM(D29:D37)</f>
        <v>0</v>
      </c>
      <c r="E28" s="344">
        <f>SUM(E29:E37)</f>
        <v>0</v>
      </c>
    </row>
    <row r="29" spans="1:5">
      <c r="A29" s="329">
        <v>41</v>
      </c>
      <c r="B29" s="48" t="s">
        <v>5214</v>
      </c>
      <c r="C29" s="336">
        <f>SUMIF('Unos rashoda i izdataka'!$R$3:$R$501,'A.4 RASHODI FUNK'!$A29,'Unos rashoda i izdataka'!$J$3:$J$501)+SUMIF('Unos rashoda P4'!$T$3:$T$501,'A.4 RASHODI FUNK'!$A29,'Unos rashoda P4'!$H$3:$H$501)</f>
        <v>0</v>
      </c>
      <c r="D29" s="336">
        <f>SUMIF('Unos rashoda i izdataka'!$R$3:$R$501,'A.4 RASHODI FUNK'!$A29,'Unos rashoda i izdataka'!$K$3:$K$501)+SUMIF('Unos rashoda P4'!$T$3:$T$501,'A.4 RASHODI FUNK'!$A29,'Unos rashoda P4'!$I$3:$I$501)</f>
        <v>0</v>
      </c>
      <c r="E29" s="336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29">
        <v>42</v>
      </c>
      <c r="B30" s="48" t="s">
        <v>5215</v>
      </c>
      <c r="C30" s="336">
        <f>SUMIF('Unos rashoda i izdataka'!$R$3:$R$501,'A.4 RASHODI FUNK'!$A30,'Unos rashoda i izdataka'!$J$3:$J$501)+SUMIF('Unos rashoda P4'!$T$3:$T$501,'A.4 RASHODI FUNK'!$A30,'Unos rashoda P4'!$H$3:$H$501)</f>
        <v>0</v>
      </c>
      <c r="D30" s="336">
        <f>SUMIF('Unos rashoda i izdataka'!$R$3:$R$501,'A.4 RASHODI FUNK'!$A30,'Unos rashoda i izdataka'!$K$3:$K$501)+SUMIF('Unos rashoda P4'!$T$3:$T$501,'A.4 RASHODI FUNK'!$A30,'Unos rashoda P4'!$I$3:$I$501)</f>
        <v>0</v>
      </c>
      <c r="E30" s="336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29">
        <v>43</v>
      </c>
      <c r="B31" s="48" t="s">
        <v>5216</v>
      </c>
      <c r="C31" s="336">
        <f>SUMIF('Unos rashoda i izdataka'!$R$3:$R$501,'A.4 RASHODI FUNK'!$A31,'Unos rashoda i izdataka'!$J$3:$J$501)+SUMIF('Unos rashoda P4'!$T$3:$T$501,'A.4 RASHODI FUNK'!$A31,'Unos rashoda P4'!$H$3:$H$501)</f>
        <v>0</v>
      </c>
      <c r="D31" s="336">
        <f>SUMIF('Unos rashoda i izdataka'!$R$3:$R$501,'A.4 RASHODI FUNK'!$A31,'Unos rashoda i izdataka'!$K$3:$K$501)+SUMIF('Unos rashoda P4'!$T$3:$T$501,'A.4 RASHODI FUNK'!$A31,'Unos rashoda P4'!$I$3:$I$501)</f>
        <v>0</v>
      </c>
      <c r="E31" s="336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29">
        <v>44</v>
      </c>
      <c r="B32" s="48" t="s">
        <v>5217</v>
      </c>
      <c r="C32" s="336">
        <f>SUMIF('Unos rashoda i izdataka'!$R$3:$R$501,'A.4 RASHODI FUNK'!$A32,'Unos rashoda i izdataka'!$J$3:$J$501)+SUMIF('Unos rashoda P4'!$T$3:$T$501,'A.4 RASHODI FUNK'!$A32,'Unos rashoda P4'!$H$3:$H$501)</f>
        <v>0</v>
      </c>
      <c r="D32" s="336">
        <f>SUMIF('Unos rashoda i izdataka'!$R$3:$R$501,'A.4 RASHODI FUNK'!$A32,'Unos rashoda i izdataka'!$K$3:$K$501)+SUMIF('Unos rashoda P4'!$T$3:$T$501,'A.4 RASHODI FUNK'!$A32,'Unos rashoda P4'!$I$3:$I$501)</f>
        <v>0</v>
      </c>
      <c r="E32" s="336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29">
        <v>45</v>
      </c>
      <c r="B33" s="48" t="s">
        <v>5218</v>
      </c>
      <c r="C33" s="336">
        <f>SUMIF('Unos rashoda i izdataka'!$R$3:$R$501,'A.4 RASHODI FUNK'!$A33,'Unos rashoda i izdataka'!$J$3:$J$501)+SUMIF('Unos rashoda P4'!$T$3:$T$501,'A.4 RASHODI FUNK'!$A33,'Unos rashoda P4'!$H$3:$H$501)</f>
        <v>0</v>
      </c>
      <c r="D33" s="336">
        <f>SUMIF('Unos rashoda i izdataka'!$R$3:$R$501,'A.4 RASHODI FUNK'!$A33,'Unos rashoda i izdataka'!$K$3:$K$501)+SUMIF('Unos rashoda P4'!$T$3:$T$501,'A.4 RASHODI FUNK'!$A33,'Unos rashoda P4'!$I$3:$I$501)</f>
        <v>0</v>
      </c>
      <c r="E33" s="336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29">
        <v>46</v>
      </c>
      <c r="B34" s="48" t="s">
        <v>5176</v>
      </c>
      <c r="C34" s="336">
        <f>SUMIF('Unos rashoda i izdataka'!$R$3:$R$501,'A.4 RASHODI FUNK'!$A34,'Unos rashoda i izdataka'!$J$3:$J$501)+SUMIF('Unos rashoda P4'!$T$3:$T$501,'A.4 RASHODI FUNK'!$A34,'Unos rashoda P4'!$H$3:$H$501)</f>
        <v>0</v>
      </c>
      <c r="D34" s="336">
        <f>SUMIF('Unos rashoda i izdataka'!$R$3:$R$501,'A.4 RASHODI FUNK'!$A34,'Unos rashoda i izdataka'!$K$3:$K$501)+SUMIF('Unos rashoda P4'!$T$3:$T$501,'A.4 RASHODI FUNK'!$A34,'Unos rashoda P4'!$I$3:$I$501)</f>
        <v>0</v>
      </c>
      <c r="E34" s="336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29">
        <v>47</v>
      </c>
      <c r="B35" s="48" t="s">
        <v>5219</v>
      </c>
      <c r="C35" s="336">
        <f>SUMIF('Unos rashoda i izdataka'!$R$3:$R$501,'A.4 RASHODI FUNK'!$A35,'Unos rashoda i izdataka'!$J$3:$J$501)+SUMIF('Unos rashoda P4'!$T$3:$T$501,'A.4 RASHODI FUNK'!$A35,'Unos rashoda P4'!$H$3:$H$501)</f>
        <v>0</v>
      </c>
      <c r="D35" s="336">
        <f>SUMIF('Unos rashoda i izdataka'!$R$3:$R$501,'A.4 RASHODI FUNK'!$A35,'Unos rashoda i izdataka'!$K$3:$K$501)+SUMIF('Unos rashoda P4'!$T$3:$T$501,'A.4 RASHODI FUNK'!$A35,'Unos rashoda P4'!$I$3:$I$501)</f>
        <v>0</v>
      </c>
      <c r="E35" s="336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29">
        <v>48</v>
      </c>
      <c r="B36" s="48" t="s">
        <v>5220</v>
      </c>
      <c r="C36" s="336">
        <f>SUMIF('Unos rashoda i izdataka'!$R$3:$R$501,'A.4 RASHODI FUNK'!$A36,'Unos rashoda i izdataka'!$J$3:$J$501)+SUMIF('Unos rashoda P4'!$T$3:$T$501,'A.4 RASHODI FUNK'!$A36,'Unos rashoda P4'!$H$3:$H$501)</f>
        <v>0</v>
      </c>
      <c r="D36" s="336">
        <f>SUMIF('Unos rashoda i izdataka'!$R$3:$R$501,'A.4 RASHODI FUNK'!$A36,'Unos rashoda i izdataka'!$K$3:$K$501)+SUMIF('Unos rashoda P4'!$T$3:$T$501,'A.4 RASHODI FUNK'!$A36,'Unos rashoda P4'!$I$3:$I$501)</f>
        <v>0</v>
      </c>
      <c r="E36" s="336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29">
        <v>49</v>
      </c>
      <c r="B37" s="48" t="s">
        <v>5221</v>
      </c>
      <c r="C37" s="336">
        <f>SUMIF('Unos rashoda i izdataka'!$R$3:$R$501,'A.4 RASHODI FUNK'!$A37,'Unos rashoda i izdataka'!$J$3:$J$501)+SUMIF('Unos rashoda P4'!$T$3:$T$501,'A.4 RASHODI FUNK'!$A37,'Unos rashoda P4'!$H$3:$H$501)</f>
        <v>0</v>
      </c>
      <c r="D37" s="336">
        <f>SUMIF('Unos rashoda i izdataka'!$R$3:$R$501,'A.4 RASHODI FUNK'!$A37,'Unos rashoda i izdataka'!$K$3:$K$501)+SUMIF('Unos rashoda P4'!$T$3:$T$501,'A.4 RASHODI FUNK'!$A37,'Unos rashoda P4'!$I$3:$I$501)</f>
        <v>0</v>
      </c>
      <c r="E37" s="336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4">
        <f>SUM(C39:C44)</f>
        <v>0</v>
      </c>
      <c r="D38" s="344">
        <f>SUM(D39:D44)</f>
        <v>0</v>
      </c>
      <c r="E38" s="344">
        <f>SUM(E39:E44)</f>
        <v>0</v>
      </c>
    </row>
    <row r="39" spans="1:5">
      <c r="A39" s="329">
        <v>51</v>
      </c>
      <c r="B39" s="48" t="s">
        <v>5223</v>
      </c>
      <c r="C39" s="336">
        <f>SUMIF('Unos rashoda i izdataka'!$R$3:$R$501,'A.4 RASHODI FUNK'!$A39,'Unos rashoda i izdataka'!$J$3:$J$501)+SUMIF('Unos rashoda P4'!$T$3:$T$501,'A.4 RASHODI FUNK'!$A39,'Unos rashoda P4'!$H$3:$H$501)</f>
        <v>0</v>
      </c>
      <c r="D39" s="336">
        <f>SUMIF('Unos rashoda i izdataka'!$R$3:$R$501,'A.4 RASHODI FUNK'!$A39,'Unos rashoda i izdataka'!$K$3:$K$501)+SUMIF('Unos rashoda P4'!$T$3:$T$501,'A.4 RASHODI FUNK'!$A39,'Unos rashoda P4'!$I$3:$I$501)</f>
        <v>0</v>
      </c>
      <c r="E39" s="336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29">
        <v>52</v>
      </c>
      <c r="B40" s="48" t="s">
        <v>5224</v>
      </c>
      <c r="C40" s="336">
        <f>SUMIF('Unos rashoda i izdataka'!$R$3:$R$501,'A.4 RASHODI FUNK'!$A40,'Unos rashoda i izdataka'!$J$3:$J$501)+SUMIF('Unos rashoda P4'!$T$3:$T$501,'A.4 RASHODI FUNK'!$A40,'Unos rashoda P4'!$H$3:$H$501)</f>
        <v>0</v>
      </c>
      <c r="D40" s="336">
        <f>SUMIF('Unos rashoda i izdataka'!$R$3:$R$501,'A.4 RASHODI FUNK'!$A40,'Unos rashoda i izdataka'!$K$3:$K$501)+SUMIF('Unos rashoda P4'!$T$3:$T$501,'A.4 RASHODI FUNK'!$A40,'Unos rashoda P4'!$I$3:$I$501)</f>
        <v>0</v>
      </c>
      <c r="E40" s="336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29">
        <v>53</v>
      </c>
      <c r="B41" s="48" t="s">
        <v>5225</v>
      </c>
      <c r="C41" s="336">
        <f>SUMIF('Unos rashoda i izdataka'!$R$3:$R$501,'A.4 RASHODI FUNK'!$A41,'Unos rashoda i izdataka'!$J$3:$J$501)+SUMIF('Unos rashoda P4'!$T$3:$T$501,'A.4 RASHODI FUNK'!$A41,'Unos rashoda P4'!$H$3:$H$501)</f>
        <v>0</v>
      </c>
      <c r="D41" s="336">
        <f>SUMIF('Unos rashoda i izdataka'!$R$3:$R$501,'A.4 RASHODI FUNK'!$A41,'Unos rashoda i izdataka'!$K$3:$K$501)+SUMIF('Unos rashoda P4'!$T$3:$T$501,'A.4 RASHODI FUNK'!$A41,'Unos rashoda P4'!$I$3:$I$501)</f>
        <v>0</v>
      </c>
      <c r="E41" s="336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29">
        <v>54</v>
      </c>
      <c r="B42" s="48" t="s">
        <v>5226</v>
      </c>
      <c r="C42" s="336">
        <f>SUMIF('Unos rashoda i izdataka'!$R$3:$R$501,'A.4 RASHODI FUNK'!$A42,'Unos rashoda i izdataka'!$J$3:$J$501)+SUMIF('Unos rashoda P4'!$T$3:$T$501,'A.4 RASHODI FUNK'!$A42,'Unos rashoda P4'!$H$3:$H$501)</f>
        <v>0</v>
      </c>
      <c r="D42" s="336">
        <f>SUMIF('Unos rashoda i izdataka'!$R$3:$R$501,'A.4 RASHODI FUNK'!$A42,'Unos rashoda i izdataka'!$K$3:$K$501)+SUMIF('Unos rashoda P4'!$T$3:$T$501,'A.4 RASHODI FUNK'!$A42,'Unos rashoda P4'!$I$3:$I$501)</f>
        <v>0</v>
      </c>
      <c r="E42" s="336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29">
        <v>55</v>
      </c>
      <c r="B43" s="48" t="s">
        <v>5227</v>
      </c>
      <c r="C43" s="336">
        <f>SUMIF('Unos rashoda i izdataka'!$R$3:$R$501,'A.4 RASHODI FUNK'!$A43,'Unos rashoda i izdataka'!$J$3:$J$501)+SUMIF('Unos rashoda P4'!$T$3:$T$501,'A.4 RASHODI FUNK'!$A43,'Unos rashoda P4'!$H$3:$H$501)</f>
        <v>0</v>
      </c>
      <c r="D43" s="336">
        <f>SUMIF('Unos rashoda i izdataka'!$R$3:$R$501,'A.4 RASHODI FUNK'!$A43,'Unos rashoda i izdataka'!$K$3:$K$501)+SUMIF('Unos rashoda P4'!$T$3:$T$501,'A.4 RASHODI FUNK'!$A43,'Unos rashoda P4'!$I$3:$I$501)</f>
        <v>0</v>
      </c>
      <c r="E43" s="336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29">
        <v>56</v>
      </c>
      <c r="B44" s="48" t="s">
        <v>5228</v>
      </c>
      <c r="C44" s="336">
        <f>SUMIF('Unos rashoda i izdataka'!$R$3:$R$501,'A.4 RASHODI FUNK'!$A44,'Unos rashoda i izdataka'!$J$3:$J$501)+SUMIF('Unos rashoda P4'!$T$3:$T$501,'A.4 RASHODI FUNK'!$A44,'Unos rashoda P4'!$H$3:$H$501)</f>
        <v>0</v>
      </c>
      <c r="D44" s="336">
        <f>SUMIF('Unos rashoda i izdataka'!$R$3:$R$501,'A.4 RASHODI FUNK'!$A44,'Unos rashoda i izdataka'!$K$3:$K$501)+SUMIF('Unos rashoda P4'!$T$3:$T$501,'A.4 RASHODI FUNK'!$A44,'Unos rashoda P4'!$I$3:$I$501)</f>
        <v>0</v>
      </c>
      <c r="E44" s="336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4">
        <f>SUM(C46:C51)</f>
        <v>0</v>
      </c>
      <c r="D45" s="344">
        <f>SUM(D46:D51)</f>
        <v>0</v>
      </c>
      <c r="E45" s="344">
        <f>SUM(E46:E51)</f>
        <v>0</v>
      </c>
    </row>
    <row r="46" spans="1:5">
      <c r="A46" s="329">
        <v>61</v>
      </c>
      <c r="B46" s="48" t="s">
        <v>5230</v>
      </c>
      <c r="C46" s="336">
        <f>SUMIF('Unos rashoda i izdataka'!$R$3:$R$501,'A.4 RASHODI FUNK'!$A46,'Unos rashoda i izdataka'!$J$3:$J$501)+SUMIF('Unos rashoda P4'!$T$3:$T$501,'A.4 RASHODI FUNK'!$A46,'Unos rashoda P4'!$H$3:$H$501)</f>
        <v>0</v>
      </c>
      <c r="D46" s="336">
        <f>SUMIF('Unos rashoda i izdataka'!$R$3:$R$501,'A.4 RASHODI FUNK'!$A46,'Unos rashoda i izdataka'!$K$3:$K$501)+SUMIF('Unos rashoda P4'!$T$3:$T$501,'A.4 RASHODI FUNK'!$A46,'Unos rashoda P4'!$I$3:$I$501)</f>
        <v>0</v>
      </c>
      <c r="E46" s="336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29">
        <v>62</v>
      </c>
      <c r="B47" s="48" t="s">
        <v>5231</v>
      </c>
      <c r="C47" s="336">
        <f>SUMIF('Unos rashoda i izdataka'!$R$3:$R$501,'A.4 RASHODI FUNK'!$A47,'Unos rashoda i izdataka'!$J$3:$J$501)+SUMIF('Unos rashoda P4'!$T$3:$T$501,'A.4 RASHODI FUNK'!$A47,'Unos rashoda P4'!$H$3:$H$501)</f>
        <v>0</v>
      </c>
      <c r="D47" s="336">
        <f>SUMIF('Unos rashoda i izdataka'!$R$3:$R$501,'A.4 RASHODI FUNK'!$A47,'Unos rashoda i izdataka'!$K$3:$K$501)+SUMIF('Unos rashoda P4'!$T$3:$T$501,'A.4 RASHODI FUNK'!$A47,'Unos rashoda P4'!$I$3:$I$501)</f>
        <v>0</v>
      </c>
      <c r="E47" s="336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29">
        <v>63</v>
      </c>
      <c r="B48" s="48" t="s">
        <v>5232</v>
      </c>
      <c r="C48" s="336">
        <f>SUMIF('Unos rashoda i izdataka'!$R$3:$R$501,'A.4 RASHODI FUNK'!$A48,'Unos rashoda i izdataka'!$J$3:$J$501)+SUMIF('Unos rashoda P4'!$T$3:$T$501,'A.4 RASHODI FUNK'!$A48,'Unos rashoda P4'!$H$3:$H$501)</f>
        <v>0</v>
      </c>
      <c r="D48" s="336">
        <f>SUMIF('Unos rashoda i izdataka'!$R$3:$R$501,'A.4 RASHODI FUNK'!$A48,'Unos rashoda i izdataka'!$K$3:$K$501)+SUMIF('Unos rashoda P4'!$T$3:$T$501,'A.4 RASHODI FUNK'!$A48,'Unos rashoda P4'!$I$3:$I$501)</f>
        <v>0</v>
      </c>
      <c r="E48" s="336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29">
        <v>64</v>
      </c>
      <c r="B49" s="48" t="s">
        <v>5233</v>
      </c>
      <c r="C49" s="336">
        <f>SUMIF('Unos rashoda i izdataka'!$R$3:$R$501,'A.4 RASHODI FUNK'!$A49,'Unos rashoda i izdataka'!$J$3:$J$501)+SUMIF('Unos rashoda P4'!$T$3:$T$501,'A.4 RASHODI FUNK'!$A49,'Unos rashoda P4'!$H$3:$H$501)</f>
        <v>0</v>
      </c>
      <c r="D49" s="336">
        <f>SUMIF('Unos rashoda i izdataka'!$R$3:$R$501,'A.4 RASHODI FUNK'!$A49,'Unos rashoda i izdataka'!$K$3:$K$501)+SUMIF('Unos rashoda P4'!$T$3:$T$501,'A.4 RASHODI FUNK'!$A49,'Unos rashoda P4'!$I$3:$I$501)</f>
        <v>0</v>
      </c>
      <c r="E49" s="336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29">
        <v>65</v>
      </c>
      <c r="B50" s="48" t="s">
        <v>5234</v>
      </c>
      <c r="C50" s="336">
        <f>SUMIF('Unos rashoda i izdataka'!$R$3:$R$501,'A.4 RASHODI FUNK'!$A50,'Unos rashoda i izdataka'!$J$3:$J$501)+SUMIF('Unos rashoda P4'!$T$3:$T$501,'A.4 RASHODI FUNK'!$A50,'Unos rashoda P4'!$H$3:$H$501)</f>
        <v>0</v>
      </c>
      <c r="D50" s="336">
        <f>SUMIF('Unos rashoda i izdataka'!$R$3:$R$501,'A.4 RASHODI FUNK'!$A50,'Unos rashoda i izdataka'!$K$3:$K$501)+SUMIF('Unos rashoda P4'!$T$3:$T$501,'A.4 RASHODI FUNK'!$A50,'Unos rashoda P4'!$I$3:$I$501)</f>
        <v>0</v>
      </c>
      <c r="E50" s="336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29">
        <v>66</v>
      </c>
      <c r="B51" s="48" t="s">
        <v>5235</v>
      </c>
      <c r="C51" s="336">
        <f>SUMIF('Unos rashoda i izdataka'!$R$3:$R$501,'A.4 RASHODI FUNK'!$A51,'Unos rashoda i izdataka'!$J$3:$J$501)+SUMIF('Unos rashoda P4'!$T$3:$T$501,'A.4 RASHODI FUNK'!$A51,'Unos rashoda P4'!$H$3:$H$501)</f>
        <v>0</v>
      </c>
      <c r="D51" s="336">
        <f>SUMIF('Unos rashoda i izdataka'!$R$3:$R$501,'A.4 RASHODI FUNK'!$A51,'Unos rashoda i izdataka'!$K$3:$K$501)+SUMIF('Unos rashoda P4'!$T$3:$T$501,'A.4 RASHODI FUNK'!$A51,'Unos rashoda P4'!$I$3:$I$501)</f>
        <v>0</v>
      </c>
      <c r="E51" s="336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4">
        <f>SUM(C53:C58)</f>
        <v>0</v>
      </c>
      <c r="D52" s="344">
        <f>SUM(D53:D58)</f>
        <v>0</v>
      </c>
      <c r="E52" s="344">
        <f>SUM(E53:E58)</f>
        <v>0</v>
      </c>
    </row>
    <row r="53" spans="1:5">
      <c r="A53" s="329">
        <v>71</v>
      </c>
      <c r="B53" s="48" t="s">
        <v>5237</v>
      </c>
      <c r="C53" s="336">
        <f>SUMIF('Unos rashoda i izdataka'!$R$3:$R$501,'A.4 RASHODI FUNK'!$A53,'Unos rashoda i izdataka'!$J$3:$J$501)+SUMIF('Unos rashoda P4'!$T$3:$T$501,'A.4 RASHODI FUNK'!$A53,'Unos rashoda P4'!$H$3:$H$501)</f>
        <v>0</v>
      </c>
      <c r="D53" s="336">
        <f>SUMIF('Unos rashoda i izdataka'!$R$3:$R$501,'A.4 RASHODI FUNK'!$A53,'Unos rashoda i izdataka'!$K$3:$K$501)+SUMIF('Unos rashoda P4'!$T$3:$T$501,'A.4 RASHODI FUNK'!$A53,'Unos rashoda P4'!$I$3:$I$501)</f>
        <v>0</v>
      </c>
      <c r="E53" s="336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29">
        <v>72</v>
      </c>
      <c r="B54" s="48" t="s">
        <v>5238</v>
      </c>
      <c r="C54" s="336">
        <f>SUMIF('Unos rashoda i izdataka'!$R$3:$R$501,'A.4 RASHODI FUNK'!$A54,'Unos rashoda i izdataka'!$J$3:$J$501)+SUMIF('Unos rashoda P4'!$T$3:$T$501,'A.4 RASHODI FUNK'!$A54,'Unos rashoda P4'!$H$3:$H$501)</f>
        <v>0</v>
      </c>
      <c r="D54" s="336">
        <f>SUMIF('Unos rashoda i izdataka'!$R$3:$R$501,'A.4 RASHODI FUNK'!$A54,'Unos rashoda i izdataka'!$K$3:$K$501)+SUMIF('Unos rashoda P4'!$T$3:$T$501,'A.4 RASHODI FUNK'!$A54,'Unos rashoda P4'!$I$3:$I$501)</f>
        <v>0</v>
      </c>
      <c r="E54" s="336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29">
        <v>73</v>
      </c>
      <c r="B55" s="48" t="s">
        <v>5239</v>
      </c>
      <c r="C55" s="336">
        <f>SUMIF('Unos rashoda i izdataka'!$R$3:$R$501,'A.4 RASHODI FUNK'!$A55,'Unos rashoda i izdataka'!$J$3:$J$501)+SUMIF('Unos rashoda P4'!$T$3:$T$501,'A.4 RASHODI FUNK'!$A55,'Unos rashoda P4'!$H$3:$H$501)</f>
        <v>0</v>
      </c>
      <c r="D55" s="336">
        <f>SUMIF('Unos rashoda i izdataka'!$R$3:$R$501,'A.4 RASHODI FUNK'!$A55,'Unos rashoda i izdataka'!$K$3:$K$501)+SUMIF('Unos rashoda P4'!$T$3:$T$501,'A.4 RASHODI FUNK'!$A55,'Unos rashoda P4'!$I$3:$I$501)</f>
        <v>0</v>
      </c>
      <c r="E55" s="336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29">
        <v>74</v>
      </c>
      <c r="B56" s="48" t="s">
        <v>5240</v>
      </c>
      <c r="C56" s="336">
        <f>SUMIF('Unos rashoda i izdataka'!$R$3:$R$501,'A.4 RASHODI FUNK'!$A56,'Unos rashoda i izdataka'!$J$3:$J$501)+SUMIF('Unos rashoda P4'!$T$3:$T$501,'A.4 RASHODI FUNK'!$A56,'Unos rashoda P4'!$H$3:$H$501)</f>
        <v>0</v>
      </c>
      <c r="D56" s="336">
        <f>SUMIF('Unos rashoda i izdataka'!$R$3:$R$501,'A.4 RASHODI FUNK'!$A56,'Unos rashoda i izdataka'!$K$3:$K$501)+SUMIF('Unos rashoda P4'!$T$3:$T$501,'A.4 RASHODI FUNK'!$A56,'Unos rashoda P4'!$I$3:$I$501)</f>
        <v>0</v>
      </c>
      <c r="E56" s="336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29">
        <v>75</v>
      </c>
      <c r="B57" s="48" t="s">
        <v>5241</v>
      </c>
      <c r="C57" s="336">
        <f>SUMIF('Unos rashoda i izdataka'!$R$3:$R$501,'A.4 RASHODI FUNK'!$A57,'Unos rashoda i izdataka'!$J$3:$J$501)+SUMIF('Unos rashoda P4'!$T$3:$T$501,'A.4 RASHODI FUNK'!$A57,'Unos rashoda P4'!$H$3:$H$501)</f>
        <v>0</v>
      </c>
      <c r="D57" s="336">
        <f>SUMIF('Unos rashoda i izdataka'!$R$3:$R$501,'A.4 RASHODI FUNK'!$A57,'Unos rashoda i izdataka'!$K$3:$K$501)+SUMIF('Unos rashoda P4'!$T$3:$T$501,'A.4 RASHODI FUNK'!$A57,'Unos rashoda P4'!$I$3:$I$501)</f>
        <v>0</v>
      </c>
      <c r="E57" s="336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29">
        <v>76</v>
      </c>
      <c r="B58" s="48" t="s">
        <v>5242</v>
      </c>
      <c r="C58" s="336">
        <f>SUMIF('Unos rashoda i izdataka'!$R$3:$R$501,'A.4 RASHODI FUNK'!$A58,'Unos rashoda i izdataka'!$J$3:$J$501)+SUMIF('Unos rashoda P4'!$T$3:$T$501,'A.4 RASHODI FUNK'!$A58,'Unos rashoda P4'!$H$3:$H$501)</f>
        <v>0</v>
      </c>
      <c r="D58" s="336">
        <f>SUMIF('Unos rashoda i izdataka'!$R$3:$R$501,'A.4 RASHODI FUNK'!$A58,'Unos rashoda i izdataka'!$K$3:$K$501)+SUMIF('Unos rashoda P4'!$T$3:$T$501,'A.4 RASHODI FUNK'!$A58,'Unos rashoda P4'!$I$3:$I$501)</f>
        <v>0</v>
      </c>
      <c r="E58" s="336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4">
        <f>SUM(C60:C65)</f>
        <v>0</v>
      </c>
      <c r="D59" s="344">
        <f>SUM(D60:D65)</f>
        <v>0</v>
      </c>
      <c r="E59" s="344">
        <f>SUM(E60:E65)</f>
        <v>0</v>
      </c>
    </row>
    <row r="60" spans="1:5">
      <c r="A60" s="329">
        <v>81</v>
      </c>
      <c r="B60" s="48" t="s">
        <v>5244</v>
      </c>
      <c r="C60" s="336">
        <f>SUMIF('Unos rashoda i izdataka'!$R$3:$R$501,'A.4 RASHODI FUNK'!$A60,'Unos rashoda i izdataka'!$J$3:$J$501)+SUMIF('Unos rashoda P4'!$T$3:$T$501,'A.4 RASHODI FUNK'!$A60,'Unos rashoda P4'!$H$3:$H$501)</f>
        <v>0</v>
      </c>
      <c r="D60" s="336">
        <f>SUMIF('Unos rashoda i izdataka'!$R$3:$R$501,'A.4 RASHODI FUNK'!$A60,'Unos rashoda i izdataka'!$K$3:$K$501)+SUMIF('Unos rashoda P4'!$T$3:$T$501,'A.4 RASHODI FUNK'!$A60,'Unos rashoda P4'!$I$3:$I$501)</f>
        <v>0</v>
      </c>
      <c r="E60" s="336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29">
        <v>82</v>
      </c>
      <c r="B61" s="48" t="s">
        <v>5162</v>
      </c>
      <c r="C61" s="336">
        <f>SUMIF('Unos rashoda i izdataka'!$R$3:$R$501,'A.4 RASHODI FUNK'!$A61,'Unos rashoda i izdataka'!$J$3:$J$501)+SUMIF('Unos rashoda P4'!$T$3:$T$501,'A.4 RASHODI FUNK'!$A61,'Unos rashoda P4'!$H$3:$H$501)</f>
        <v>0</v>
      </c>
      <c r="D61" s="336">
        <f>SUMIF('Unos rashoda i izdataka'!$R$3:$R$501,'A.4 RASHODI FUNK'!$A61,'Unos rashoda i izdataka'!$K$3:$K$501)+SUMIF('Unos rashoda P4'!$T$3:$T$501,'A.4 RASHODI FUNK'!$A61,'Unos rashoda P4'!$I$3:$I$501)</f>
        <v>0</v>
      </c>
      <c r="E61" s="336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29">
        <v>83</v>
      </c>
      <c r="B62" s="48" t="s">
        <v>5245</v>
      </c>
      <c r="C62" s="336">
        <f>SUMIF('Unos rashoda i izdataka'!$R$3:$R$501,'A.4 RASHODI FUNK'!$A62,'Unos rashoda i izdataka'!$J$3:$J$501)+SUMIF('Unos rashoda P4'!$T$3:$T$501,'A.4 RASHODI FUNK'!$A62,'Unos rashoda P4'!$H$3:$H$501)</f>
        <v>0</v>
      </c>
      <c r="D62" s="336">
        <f>SUMIF('Unos rashoda i izdataka'!$R$3:$R$501,'A.4 RASHODI FUNK'!$A62,'Unos rashoda i izdataka'!$K$3:$K$501)+SUMIF('Unos rashoda P4'!$T$3:$T$501,'A.4 RASHODI FUNK'!$A62,'Unos rashoda P4'!$I$3:$I$501)</f>
        <v>0</v>
      </c>
      <c r="E62" s="336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29">
        <v>84</v>
      </c>
      <c r="B63" s="48" t="s">
        <v>5246</v>
      </c>
      <c r="C63" s="336">
        <f>SUMIF('Unos rashoda i izdataka'!$R$3:$R$501,'A.4 RASHODI FUNK'!$A63,'Unos rashoda i izdataka'!$J$3:$J$501)+SUMIF('Unos rashoda P4'!$T$3:$T$501,'A.4 RASHODI FUNK'!$A63,'Unos rashoda P4'!$H$3:$H$501)</f>
        <v>0</v>
      </c>
      <c r="D63" s="336">
        <f>SUMIF('Unos rashoda i izdataka'!$R$3:$R$501,'A.4 RASHODI FUNK'!$A63,'Unos rashoda i izdataka'!$K$3:$K$501)+SUMIF('Unos rashoda P4'!$T$3:$T$501,'A.4 RASHODI FUNK'!$A63,'Unos rashoda P4'!$I$3:$I$501)</f>
        <v>0</v>
      </c>
      <c r="E63" s="336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29">
        <v>85</v>
      </c>
      <c r="B64" s="48" t="s">
        <v>5247</v>
      </c>
      <c r="C64" s="336">
        <f>SUMIF('Unos rashoda i izdataka'!$R$3:$R$501,'A.4 RASHODI FUNK'!$A64,'Unos rashoda i izdataka'!$J$3:$J$501)+SUMIF('Unos rashoda P4'!$T$3:$T$501,'A.4 RASHODI FUNK'!$A64,'Unos rashoda P4'!$H$3:$H$501)</f>
        <v>0</v>
      </c>
      <c r="D64" s="336">
        <f>SUMIF('Unos rashoda i izdataka'!$R$3:$R$501,'A.4 RASHODI FUNK'!$A64,'Unos rashoda i izdataka'!$K$3:$K$501)+SUMIF('Unos rashoda P4'!$T$3:$T$501,'A.4 RASHODI FUNK'!$A64,'Unos rashoda P4'!$I$3:$I$501)</f>
        <v>0</v>
      </c>
      <c r="E64" s="336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29">
        <v>86</v>
      </c>
      <c r="B65" s="48" t="s">
        <v>5248</v>
      </c>
      <c r="C65" s="336">
        <f>SUMIF('Unos rashoda i izdataka'!$R$3:$R$501,'A.4 RASHODI FUNK'!$A65,'Unos rashoda i izdataka'!$J$3:$J$501)+SUMIF('Unos rashoda P4'!$T$3:$T$501,'A.4 RASHODI FUNK'!$A65,'Unos rashoda P4'!$H$3:$H$501)</f>
        <v>0</v>
      </c>
      <c r="D65" s="336">
        <f>SUMIF('Unos rashoda i izdataka'!$R$3:$R$501,'A.4 RASHODI FUNK'!$A65,'Unos rashoda i izdataka'!$K$3:$K$501)+SUMIF('Unos rashoda P4'!$T$3:$T$501,'A.4 RASHODI FUNK'!$A65,'Unos rashoda P4'!$I$3:$I$501)</f>
        <v>0</v>
      </c>
      <c r="E65" s="336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4">
        <f>SUM(C67:C74)</f>
        <v>10161813.066825934</v>
      </c>
      <c r="D66" s="344">
        <f>SUM(D67:D74)</f>
        <v>9997817.3604087848</v>
      </c>
      <c r="E66" s="344">
        <f>SUM(E67:E74)</f>
        <v>9989307.5383237097</v>
      </c>
    </row>
    <row r="67" spans="1:5">
      <c r="A67" s="329">
        <v>91</v>
      </c>
      <c r="B67" s="48" t="s">
        <v>5250</v>
      </c>
      <c r="C67" s="336">
        <f>SUMIF('Unos rashoda i izdataka'!$R$3:$R$501,'A.4 RASHODI FUNK'!$A67,'Unos rashoda i izdataka'!$J$3:$J$501)+SUMIF('Unos rashoda P4'!$T$3:$T$501,'A.4 RASHODI FUNK'!$A67,'Unos rashoda P4'!$H$3:$H$501)</f>
        <v>0</v>
      </c>
      <c r="D67" s="336">
        <f>SUMIF('Unos rashoda i izdataka'!$R$3:$R$501,'A.4 RASHODI FUNK'!$A67,'Unos rashoda i izdataka'!$K$3:$K$501)+SUMIF('Unos rashoda P4'!$T$3:$T$501,'A.4 RASHODI FUNK'!$A67,'Unos rashoda P4'!$I$3:$I$501)</f>
        <v>0</v>
      </c>
      <c r="E67" s="336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29">
        <v>92</v>
      </c>
      <c r="B68" s="48" t="s">
        <v>5251</v>
      </c>
      <c r="C68" s="336">
        <f>SUMIF('Unos rashoda i izdataka'!$R$3:$R$501,'A.4 RASHODI FUNK'!$A68,'Unos rashoda i izdataka'!$J$3:$J$501)+SUMIF('Unos rashoda P4'!$T$3:$T$501,'A.4 RASHODI FUNK'!$A68,'Unos rashoda P4'!$H$3:$H$501)</f>
        <v>0</v>
      </c>
      <c r="D68" s="336">
        <f>SUMIF('Unos rashoda i izdataka'!$R$3:$R$501,'A.4 RASHODI FUNK'!$A68,'Unos rashoda i izdataka'!$K$3:$K$501)+SUMIF('Unos rashoda P4'!$T$3:$T$501,'A.4 RASHODI FUNK'!$A68,'Unos rashoda P4'!$I$3:$I$501)</f>
        <v>0</v>
      </c>
      <c r="E68" s="336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29">
        <v>93</v>
      </c>
      <c r="B69" s="48" t="s">
        <v>5252</v>
      </c>
      <c r="C69" s="336">
        <f>SUMIF('Unos rashoda i izdataka'!$R$3:$R$501,'A.4 RASHODI FUNK'!$A69,'Unos rashoda i izdataka'!$J$3:$J$501)+SUMIF('Unos rashoda P4'!$T$3:$T$501,'A.4 RASHODI FUNK'!$A69,'Unos rashoda P4'!$H$3:$H$501)</f>
        <v>0</v>
      </c>
      <c r="D69" s="336">
        <f>SUMIF('Unos rashoda i izdataka'!$R$3:$R$501,'A.4 RASHODI FUNK'!$A69,'Unos rashoda i izdataka'!$K$3:$K$501)+SUMIF('Unos rashoda P4'!$T$3:$T$501,'A.4 RASHODI FUNK'!$A69,'Unos rashoda P4'!$I$3:$I$501)</f>
        <v>0</v>
      </c>
      <c r="E69" s="336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29">
        <v>94</v>
      </c>
      <c r="B70" s="48" t="s">
        <v>5253</v>
      </c>
      <c r="C70" s="336">
        <f>SUMIF('Unos rashoda i izdataka'!$R$3:$R$501,'A.4 RASHODI FUNK'!$A70,'Unos rashoda i izdataka'!$J$3:$J$501)+SUMIF('Unos rashoda P4'!$T$3:$T$501,'A.4 RASHODI FUNK'!$A70,'Unos rashoda P4'!$H$3:$H$501)</f>
        <v>10161813.066825934</v>
      </c>
      <c r="D70" s="336">
        <f>SUMIF('Unos rashoda i izdataka'!$R$3:$R$501,'A.4 RASHODI FUNK'!$A70,'Unos rashoda i izdataka'!$K$3:$K$501)+SUMIF('Unos rashoda P4'!$T$3:$T$501,'A.4 RASHODI FUNK'!$A70,'Unos rashoda P4'!$I$3:$I$501)</f>
        <v>9997817.3604087848</v>
      </c>
      <c r="E70" s="336">
        <f>SUMIF('Unos rashoda i izdataka'!$R$3:$R$501,'A.4 RASHODI FUNK'!$A70,'Unos rashoda i izdataka'!$L$3:$L$501)+SUMIF('Unos rashoda P4'!$T$3:$T$501,'A.4 RASHODI FUNK'!$A70,'Unos rashoda P4'!$J$3:$J$501)</f>
        <v>9989307.5383237097</v>
      </c>
    </row>
    <row r="71" spans="1:5">
      <c r="A71" s="329">
        <v>95</v>
      </c>
      <c r="B71" s="48" t="s">
        <v>5172</v>
      </c>
      <c r="C71" s="336">
        <f>SUMIF('Unos rashoda i izdataka'!$R$3:$R$501,'A.4 RASHODI FUNK'!$A71,'Unos rashoda i izdataka'!$J$3:$J$501)+SUMIF('Unos rashoda P4'!$T$3:$T$501,'A.4 RASHODI FUNK'!$A71,'Unos rashoda P4'!$H$3:$H$501)</f>
        <v>0</v>
      </c>
      <c r="D71" s="336">
        <f>SUMIF('Unos rashoda i izdataka'!$R$3:$R$501,'A.4 RASHODI FUNK'!$A71,'Unos rashoda i izdataka'!$K$3:$K$501)+SUMIF('Unos rashoda P4'!$T$3:$T$501,'A.4 RASHODI FUNK'!$A71,'Unos rashoda P4'!$I$3:$I$501)</f>
        <v>0</v>
      </c>
      <c r="E71" s="336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29">
        <v>96</v>
      </c>
      <c r="B72" s="48" t="s">
        <v>5170</v>
      </c>
      <c r="C72" s="336">
        <f>SUMIF('Unos rashoda i izdataka'!$R$3:$R$501,'A.4 RASHODI FUNK'!$A72,'Unos rashoda i izdataka'!$J$3:$J$501)+SUMIF('Unos rashoda P4'!$T$3:$T$501,'A.4 RASHODI FUNK'!$A72,'Unos rashoda P4'!$H$3:$H$501)</f>
        <v>0</v>
      </c>
      <c r="D72" s="336">
        <f>SUMIF('Unos rashoda i izdataka'!$R$3:$R$501,'A.4 RASHODI FUNK'!$A72,'Unos rashoda i izdataka'!$K$3:$K$501)+SUMIF('Unos rashoda P4'!$T$3:$T$501,'A.4 RASHODI FUNK'!$A72,'Unos rashoda P4'!$I$3:$I$501)</f>
        <v>0</v>
      </c>
      <c r="E72" s="336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29">
        <v>97</v>
      </c>
      <c r="B73" s="48" t="s">
        <v>5156</v>
      </c>
      <c r="C73" s="336">
        <f>SUMIF('Unos rashoda i izdataka'!$R$3:$R$501,'A.4 RASHODI FUNK'!$A73,'Unos rashoda i izdataka'!$J$3:$J$501)+SUMIF('Unos rashoda P4'!$T$3:$T$501,'A.4 RASHODI FUNK'!$A73,'Unos rashoda P4'!$H$3:$H$501)</f>
        <v>0</v>
      </c>
      <c r="D73" s="336">
        <f>SUMIF('Unos rashoda i izdataka'!$R$3:$R$501,'A.4 RASHODI FUNK'!$A73,'Unos rashoda i izdataka'!$K$3:$K$501)+SUMIF('Unos rashoda P4'!$T$3:$T$501,'A.4 RASHODI FUNK'!$A73,'Unos rashoda P4'!$I$3:$I$501)</f>
        <v>0</v>
      </c>
      <c r="E73" s="336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29">
        <v>98</v>
      </c>
      <c r="B74" s="48" t="s">
        <v>5158</v>
      </c>
      <c r="C74" s="336">
        <f>SUMIF('Unos rashoda i izdataka'!$R$3:$R$501,'A.4 RASHODI FUNK'!$A74,'Unos rashoda i izdataka'!$J$3:$J$501)+SUMIF('Unos rashoda P4'!$T$3:$T$501,'A.4 RASHODI FUNK'!$A74,'Unos rashoda P4'!$H$3:$H$501)</f>
        <v>0</v>
      </c>
      <c r="D74" s="336">
        <f>SUMIF('Unos rashoda i izdataka'!$R$3:$R$501,'A.4 RASHODI FUNK'!$A74,'Unos rashoda i izdataka'!$K$3:$K$501)+SUMIF('Unos rashoda P4'!$T$3:$T$501,'A.4 RASHODI FUNK'!$A74,'Unos rashoda P4'!$I$3:$I$501)</f>
        <v>0</v>
      </c>
      <c r="E74" s="336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4">
        <f>SUM(C76:C84)</f>
        <v>0</v>
      </c>
      <c r="D75" s="344">
        <f>SUM(D76:D84)</f>
        <v>0</v>
      </c>
      <c r="E75" s="344">
        <f>SUM(E76:E84)</f>
        <v>0</v>
      </c>
    </row>
    <row r="76" spans="1:5">
      <c r="A76" s="329">
        <v>101</v>
      </c>
      <c r="B76" s="48" t="s">
        <v>5255</v>
      </c>
      <c r="C76" s="336">
        <f>SUMIF('Unos rashoda i izdataka'!$R$3:$R$501,'A.4 RASHODI FUNK'!$A76,'Unos rashoda i izdataka'!$J$3:$J$501)+SUMIF('Unos rashoda P4'!$T$3:$T$501,'A.4 RASHODI FUNK'!$A76,'Unos rashoda P4'!$H$3:$H$501)</f>
        <v>0</v>
      </c>
      <c r="D76" s="336">
        <f>SUMIF('Unos rashoda i izdataka'!$R$3:$R$501,'A.4 RASHODI FUNK'!$A76,'Unos rashoda i izdataka'!$K$3:$K$501)+SUMIF('Unos rashoda P4'!$T$3:$T$501,'A.4 RASHODI FUNK'!$A76,'Unos rashoda P4'!$I$3:$I$501)</f>
        <v>0</v>
      </c>
      <c r="E76" s="336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29">
        <v>102</v>
      </c>
      <c r="B77" s="48" t="s">
        <v>5256</v>
      </c>
      <c r="C77" s="336">
        <f>SUMIF('Unos rashoda i izdataka'!$R$3:$R$501,'A.4 RASHODI FUNK'!$A77,'Unos rashoda i izdataka'!$J$3:$J$501)+SUMIF('Unos rashoda P4'!$T$3:$T$501,'A.4 RASHODI FUNK'!$A77,'Unos rashoda P4'!$H$3:$H$501)</f>
        <v>0</v>
      </c>
      <c r="D77" s="336">
        <f>SUMIF('Unos rashoda i izdataka'!$R$3:$R$501,'A.4 RASHODI FUNK'!$A77,'Unos rashoda i izdataka'!$K$3:$K$501)+SUMIF('Unos rashoda P4'!$T$3:$T$501,'A.4 RASHODI FUNK'!$A77,'Unos rashoda P4'!$I$3:$I$501)</f>
        <v>0</v>
      </c>
      <c r="E77" s="336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29">
        <v>103</v>
      </c>
      <c r="B78" s="48" t="s">
        <v>5257</v>
      </c>
      <c r="C78" s="336">
        <f>SUMIF('Unos rashoda i izdataka'!$R$3:$R$501,'A.4 RASHODI FUNK'!$A78,'Unos rashoda i izdataka'!$J$3:$J$501)+SUMIF('Unos rashoda P4'!$T$3:$T$501,'A.4 RASHODI FUNK'!$A78,'Unos rashoda P4'!$H$3:$H$501)</f>
        <v>0</v>
      </c>
      <c r="D78" s="336">
        <f>SUMIF('Unos rashoda i izdataka'!$R$3:$R$501,'A.4 RASHODI FUNK'!$A78,'Unos rashoda i izdataka'!$K$3:$K$501)+SUMIF('Unos rashoda P4'!$T$3:$T$501,'A.4 RASHODI FUNK'!$A78,'Unos rashoda P4'!$I$3:$I$501)</f>
        <v>0</v>
      </c>
      <c r="E78" s="336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29">
        <v>104</v>
      </c>
      <c r="B79" s="48" t="s">
        <v>5258</v>
      </c>
      <c r="C79" s="336">
        <f>SUMIF('Unos rashoda i izdataka'!$R$3:$R$501,'A.4 RASHODI FUNK'!$A79,'Unos rashoda i izdataka'!$J$3:$J$501)+SUMIF('Unos rashoda P4'!$T$3:$T$501,'A.4 RASHODI FUNK'!$A79,'Unos rashoda P4'!$H$3:$H$501)</f>
        <v>0</v>
      </c>
      <c r="D79" s="336">
        <f>SUMIF('Unos rashoda i izdataka'!$R$3:$R$501,'A.4 RASHODI FUNK'!$A79,'Unos rashoda i izdataka'!$K$3:$K$501)+SUMIF('Unos rashoda P4'!$T$3:$T$501,'A.4 RASHODI FUNK'!$A79,'Unos rashoda P4'!$I$3:$I$501)</f>
        <v>0</v>
      </c>
      <c r="E79" s="336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29">
        <v>105</v>
      </c>
      <c r="B80" s="48" t="s">
        <v>5259</v>
      </c>
      <c r="C80" s="336">
        <f>SUMIF('Unos rashoda i izdataka'!$R$3:$R$501,'A.4 RASHODI FUNK'!$A80,'Unos rashoda i izdataka'!$J$3:$J$501)+SUMIF('Unos rashoda P4'!$T$3:$T$501,'A.4 RASHODI FUNK'!$A80,'Unos rashoda P4'!$H$3:$H$501)</f>
        <v>0</v>
      </c>
      <c r="D80" s="336">
        <f>SUMIF('Unos rashoda i izdataka'!$R$3:$R$501,'A.4 RASHODI FUNK'!$A80,'Unos rashoda i izdataka'!$K$3:$K$501)+SUMIF('Unos rashoda P4'!$T$3:$T$501,'A.4 RASHODI FUNK'!$A80,'Unos rashoda P4'!$I$3:$I$501)</f>
        <v>0</v>
      </c>
      <c r="E80" s="336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29">
        <v>106</v>
      </c>
      <c r="B81" s="48" t="s">
        <v>5260</v>
      </c>
      <c r="C81" s="336">
        <f>SUMIF('Unos rashoda i izdataka'!$R$3:$R$501,'A.4 RASHODI FUNK'!$A81,'Unos rashoda i izdataka'!$J$3:$J$501)+SUMIF('Unos rashoda P4'!$T$3:$T$501,'A.4 RASHODI FUNK'!$A81,'Unos rashoda P4'!$H$3:$H$501)</f>
        <v>0</v>
      </c>
      <c r="D81" s="336">
        <f>SUMIF('Unos rashoda i izdataka'!$R$3:$R$501,'A.4 RASHODI FUNK'!$A81,'Unos rashoda i izdataka'!$K$3:$K$501)+SUMIF('Unos rashoda P4'!$T$3:$T$501,'A.4 RASHODI FUNK'!$A81,'Unos rashoda P4'!$I$3:$I$501)</f>
        <v>0</v>
      </c>
      <c r="E81" s="336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29">
        <v>107</v>
      </c>
      <c r="B82" s="48" t="s">
        <v>5261</v>
      </c>
      <c r="C82" s="336">
        <f>SUMIF('Unos rashoda i izdataka'!$R$3:$R$501,'A.4 RASHODI FUNK'!$A82,'Unos rashoda i izdataka'!$J$3:$J$501)+SUMIF('Unos rashoda P4'!$T$3:$T$501,'A.4 RASHODI FUNK'!$A82,'Unos rashoda P4'!$H$3:$H$501)</f>
        <v>0</v>
      </c>
      <c r="D82" s="336">
        <f>SUMIF('Unos rashoda i izdataka'!$R$3:$R$501,'A.4 RASHODI FUNK'!$A82,'Unos rashoda i izdataka'!$K$3:$K$501)+SUMIF('Unos rashoda P4'!$T$3:$T$501,'A.4 RASHODI FUNK'!$A82,'Unos rashoda P4'!$I$3:$I$501)</f>
        <v>0</v>
      </c>
      <c r="E82" s="336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29">
        <v>108</v>
      </c>
      <c r="B83" s="48" t="s">
        <v>5262</v>
      </c>
      <c r="C83" s="336">
        <f>SUMIF('Unos rashoda i izdataka'!$R$3:$R$501,'A.4 RASHODI FUNK'!$A83,'Unos rashoda i izdataka'!$J$3:$J$501)+SUMIF('Unos rashoda P4'!$T$3:$T$501,'A.4 RASHODI FUNK'!$A83,'Unos rashoda P4'!$H$3:$H$501)</f>
        <v>0</v>
      </c>
      <c r="D83" s="336">
        <f>SUMIF('Unos rashoda i izdataka'!$R$3:$R$501,'A.4 RASHODI FUNK'!$A83,'Unos rashoda i izdataka'!$K$3:$K$501)+SUMIF('Unos rashoda P4'!$T$3:$T$501,'A.4 RASHODI FUNK'!$A83,'Unos rashoda P4'!$I$3:$I$501)</f>
        <v>0</v>
      </c>
      <c r="E83" s="336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29">
        <v>109</v>
      </c>
      <c r="B84" s="48" t="s">
        <v>5263</v>
      </c>
      <c r="C84" s="336">
        <f>SUMIF('Unos rashoda i izdataka'!$R$3:$R$501,'A.4 RASHODI FUNK'!$A84,'Unos rashoda i izdataka'!$J$3:$J$501)+SUMIF('Unos rashoda P4'!$T$3:$T$501,'A.4 RASHODI FUNK'!$A84,'Unos rashoda P4'!$H$3:$H$501)</f>
        <v>0</v>
      </c>
      <c r="D84" s="336">
        <f>SUMIF('Unos rashoda i izdataka'!$R$3:$R$501,'A.4 RASHODI FUNK'!$A84,'Unos rashoda i izdataka'!$K$3:$K$501)+SUMIF('Unos rashoda P4'!$T$3:$T$501,'A.4 RASHODI FUNK'!$A84,'Unos rashoda P4'!$I$3:$I$501)</f>
        <v>0</v>
      </c>
      <c r="E84" s="336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66" t="s">
        <v>5115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63" s="42" customFormat="1" ht="15">
      <c r="B3" s="41"/>
      <c r="C3" s="41"/>
      <c r="D3" s="41"/>
      <c r="S3" s="43"/>
      <c r="W3" s="313" t="s">
        <v>5269</v>
      </c>
    </row>
    <row r="4" spans="1:263" s="42" customFormat="1" ht="15.6" customHeight="1">
      <c r="B4" s="367" t="s">
        <v>236</v>
      </c>
      <c r="C4" s="368"/>
      <c r="D4" s="369" t="s">
        <v>1711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1"/>
      <c r="V4" s="152"/>
      <c r="W4" s="152"/>
    </row>
    <row r="5" spans="1:263" s="42" customFormat="1" ht="89.25">
      <c r="A5" s="345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6">
        <v>2023</v>
      </c>
      <c r="B6" s="71">
        <v>8</v>
      </c>
      <c r="C6" s="72" t="s">
        <v>13</v>
      </c>
      <c r="D6" s="75">
        <f>+I6+W6</f>
        <v>0</v>
      </c>
      <c r="E6" s="331"/>
      <c r="F6" s="331"/>
      <c r="G6" s="331"/>
      <c r="H6" s="331"/>
      <c r="I6" s="74">
        <f t="shared" ref="I6:W6" si="0">SUM(I7:I10)</f>
        <v>0</v>
      </c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6">
        <v>2023</v>
      </c>
      <c r="B7" s="53">
        <v>81</v>
      </c>
      <c r="C7" s="54" t="s">
        <v>5107</v>
      </c>
      <c r="D7" s="30">
        <f>+I7+W7</f>
        <v>0</v>
      </c>
      <c r="E7" s="331"/>
      <c r="F7" s="331"/>
      <c r="G7" s="331"/>
      <c r="H7" s="331"/>
      <c r="I7" s="132">
        <f>SUMIFS('Unos prihoda i primitaka'!$G$3:$G$501,'Unos prihoda i primitaka'!$C$3:$C$501,"=43",'Unos prihoda i primitaka'!$L$3:$L$501,"=81")</f>
        <v>0</v>
      </c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6">
        <v>2023</v>
      </c>
      <c r="B8" s="53">
        <v>82</v>
      </c>
      <c r="C8" s="54" t="s">
        <v>5108</v>
      </c>
      <c r="D8" s="30">
        <f t="shared" ref="D8:D10" si="1">+I8+W8</f>
        <v>0</v>
      </c>
      <c r="E8" s="331"/>
      <c r="F8" s="331"/>
      <c r="G8" s="331"/>
      <c r="H8" s="331"/>
      <c r="I8" s="132">
        <f>SUMIFS('Unos prihoda i primitaka'!$G$3:$G$501,'Unos prihoda i primitaka'!$C$3:$C$501,"=43",'Unos prihoda i primitaka'!$L$3:$L$501,"=82")</f>
        <v>0</v>
      </c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6">
        <v>2023</v>
      </c>
      <c r="B9" s="180">
        <v>83</v>
      </c>
      <c r="C9" s="54" t="s">
        <v>5109</v>
      </c>
      <c r="D9" s="30">
        <f t="shared" si="1"/>
        <v>0</v>
      </c>
      <c r="E9" s="331"/>
      <c r="F9" s="331"/>
      <c r="G9" s="331"/>
      <c r="H9" s="331"/>
      <c r="I9" s="132">
        <f>SUMIFS('Unos prihoda i primitaka'!$G$3:$G$501,'Unos prihoda i primitaka'!$C$3:$C$501,"=43",'Unos prihoda i primitaka'!$L$3:$L$501,"=83")</f>
        <v>0</v>
      </c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6">
        <v>2023</v>
      </c>
      <c r="B10" s="53">
        <v>84</v>
      </c>
      <c r="C10" s="54" t="s">
        <v>5110</v>
      </c>
      <c r="D10" s="30">
        <f t="shared" si="1"/>
        <v>0</v>
      </c>
      <c r="E10" s="331"/>
      <c r="F10" s="331"/>
      <c r="G10" s="331"/>
      <c r="H10" s="331"/>
      <c r="I10" s="132">
        <f>SUMIFS('Unos prihoda i primitaka'!$G$3:$G$501,'Unos prihoda i primitaka'!$C$3:$C$501,"=43",'Unos prihoda i primitaka'!$L$3:$L$501,"=84")</f>
        <v>0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6">
        <v>2023</v>
      </c>
      <c r="B11" s="71">
        <v>5</v>
      </c>
      <c r="C11" s="72" t="s">
        <v>14</v>
      </c>
      <c r="D11" s="75">
        <f t="shared" ref="D11:D13" si="2">SUM(E11:W11)</f>
        <v>18053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18053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6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6">
        <v>2023</v>
      </c>
      <c r="B13" s="53">
        <v>54</v>
      </c>
      <c r="C13" s="54" t="s">
        <v>262</v>
      </c>
      <c r="D13" s="30">
        <f t="shared" si="2"/>
        <v>18053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18053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75">
      <c r="B15" s="367" t="s">
        <v>236</v>
      </c>
      <c r="C15" s="368"/>
      <c r="D15" s="369" t="s">
        <v>1782</v>
      </c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1"/>
      <c r="V15" s="152"/>
      <c r="W15" s="152"/>
    </row>
    <row r="16" spans="1:263" s="42" customFormat="1" ht="89.25">
      <c r="A16" s="345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6">
        <v>2024</v>
      </c>
      <c r="B17" s="71">
        <v>8</v>
      </c>
      <c r="C17" s="72" t="s">
        <v>13</v>
      </c>
      <c r="D17" s="75">
        <f>+I17+W17</f>
        <v>0</v>
      </c>
      <c r="E17" s="331"/>
      <c r="F17" s="331"/>
      <c r="G17" s="331"/>
      <c r="H17" s="331"/>
      <c r="I17" s="74">
        <f t="shared" ref="I17" si="4">SUM(I18:I21)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6">
        <v>2024</v>
      </c>
      <c r="B18" s="53">
        <v>81</v>
      </c>
      <c r="C18" s="54" t="s">
        <v>5107</v>
      </c>
      <c r="D18" s="30">
        <f>+I18+W18</f>
        <v>0</v>
      </c>
      <c r="E18" s="331"/>
      <c r="F18" s="331"/>
      <c r="G18" s="331"/>
      <c r="H18" s="331"/>
      <c r="I18" s="132">
        <f>SUMIFS('Unos prihoda i primitaka'!$H$3:$H$501,'Unos prihoda i primitaka'!$C$3:$C$501,"=43",'Unos prihoda i primitaka'!$L$3:$L$501,"=81")</f>
        <v>0</v>
      </c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6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1"/>
      <c r="F19" s="331"/>
      <c r="G19" s="331"/>
      <c r="H19" s="331"/>
      <c r="I19" s="132">
        <f>SUMIFS('Unos prihoda i primitaka'!$H$3:$H$501,'Unos prihoda i primitaka'!$C$3:$C$501,"=43",'Unos prihoda i primitaka'!$L$3:$L$501,"=82")</f>
        <v>0</v>
      </c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6">
        <v>2024</v>
      </c>
      <c r="B20" s="180">
        <v>83</v>
      </c>
      <c r="C20" s="54" t="s">
        <v>5109</v>
      </c>
      <c r="D20" s="30">
        <f t="shared" si="6"/>
        <v>0</v>
      </c>
      <c r="E20" s="331"/>
      <c r="F20" s="331"/>
      <c r="G20" s="331"/>
      <c r="H20" s="331"/>
      <c r="I20" s="132">
        <f>SUMIFS('Unos prihoda i primitaka'!$H$3:$H$501,'Unos prihoda i primitaka'!$C$3:$C$501,"=43",'Unos prihoda i primitaka'!$L$3:$L$501,"=83")</f>
        <v>0</v>
      </c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6">
        <v>2024</v>
      </c>
      <c r="B21" s="53">
        <v>84</v>
      </c>
      <c r="C21" s="54" t="s">
        <v>5110</v>
      </c>
      <c r="D21" s="30">
        <f t="shared" si="6"/>
        <v>0</v>
      </c>
      <c r="E21" s="331"/>
      <c r="F21" s="331"/>
      <c r="G21" s="331"/>
      <c r="H21" s="331"/>
      <c r="I21" s="132">
        <f>SUMIFS('Unos prihoda i primitaka'!$H$3:$H$501,'Unos prihoda i primitaka'!$C$3:$C$501,"=43",'Unos prihoda i primitaka'!$L$3:$L$501,"=84")</f>
        <v>0</v>
      </c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6">
        <v>2024</v>
      </c>
      <c r="B22" s="71">
        <v>5</v>
      </c>
      <c r="C22" s="72" t="s">
        <v>14</v>
      </c>
      <c r="D22" s="75">
        <f t="shared" ref="D22:D24" si="7">SUM(E22:W22)</f>
        <v>18639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18639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6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6">
        <v>2024</v>
      </c>
      <c r="B24" s="53">
        <v>54</v>
      </c>
      <c r="C24" s="54" t="s">
        <v>262</v>
      </c>
      <c r="D24" s="30">
        <f t="shared" si="7"/>
        <v>18639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18639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75">
      <c r="B26" s="367" t="s">
        <v>236</v>
      </c>
      <c r="C26" s="368"/>
      <c r="D26" s="369" t="s">
        <v>3026</v>
      </c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1"/>
      <c r="V26" s="152"/>
      <c r="W26" s="152"/>
    </row>
    <row r="27" spans="1:263" s="42" customFormat="1" ht="89.25">
      <c r="A27" s="345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6">
        <v>2025</v>
      </c>
      <c r="B28" s="71">
        <v>8</v>
      </c>
      <c r="C28" s="72" t="s">
        <v>13</v>
      </c>
      <c r="D28" s="75">
        <f>+I28+W28</f>
        <v>0</v>
      </c>
      <c r="E28" s="331"/>
      <c r="F28" s="331"/>
      <c r="G28" s="331"/>
      <c r="H28" s="331"/>
      <c r="I28" s="74">
        <f t="shared" ref="I28" si="9">SUM(I29:I32)</f>
        <v>0</v>
      </c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6">
        <v>2025</v>
      </c>
      <c r="B29" s="53">
        <v>81</v>
      </c>
      <c r="C29" s="54" t="s">
        <v>5107</v>
      </c>
      <c r="D29" s="30">
        <f>+I29+W29</f>
        <v>0</v>
      </c>
      <c r="E29" s="331"/>
      <c r="F29" s="331"/>
      <c r="G29" s="331"/>
      <c r="H29" s="331"/>
      <c r="I29" s="132">
        <f>SUMIFS('Unos prihoda i primitaka'!$I$3:$I$501,'Unos prihoda i primitaka'!$C$3:$C$501,"=43",'Unos prihoda i primitaka'!$L$3:$L$501,"=81")</f>
        <v>0</v>
      </c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6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1"/>
      <c r="F30" s="331"/>
      <c r="G30" s="331"/>
      <c r="H30" s="331"/>
      <c r="I30" s="132">
        <f>SUMIFS('Unos prihoda i primitaka'!$I$3:$I$501,'Unos prihoda i primitaka'!$C$3:$C$501,"=43",'Unos prihoda i primitaka'!$L$3:$L$501,"=82")</f>
        <v>0</v>
      </c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6">
        <v>2025</v>
      </c>
      <c r="B31" s="180">
        <v>83</v>
      </c>
      <c r="C31" s="54" t="s">
        <v>5109</v>
      </c>
      <c r="D31" s="30">
        <f t="shared" si="11"/>
        <v>0</v>
      </c>
      <c r="E31" s="331"/>
      <c r="F31" s="331"/>
      <c r="G31" s="331"/>
      <c r="H31" s="331"/>
      <c r="I31" s="132">
        <f>SUMIFS('Unos prihoda i primitaka'!$I$3:$I$501,'Unos prihoda i primitaka'!$C$3:$C$501,"=43",'Unos prihoda i primitaka'!$L$3:$L$501,"=83")</f>
        <v>0</v>
      </c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6">
        <v>2025</v>
      </c>
      <c r="B32" s="53">
        <v>84</v>
      </c>
      <c r="C32" s="54" t="s">
        <v>5110</v>
      </c>
      <c r="D32" s="30">
        <f t="shared" si="11"/>
        <v>0</v>
      </c>
      <c r="E32" s="331"/>
      <c r="F32" s="331"/>
      <c r="G32" s="331"/>
      <c r="H32" s="331"/>
      <c r="I32" s="132">
        <f>SUMIFS('Unos prihoda i primitaka'!$I$3:$I$501,'Unos prihoda i primitaka'!$C$3:$C$501,"=43",'Unos prihoda i primitaka'!$L$3:$L$501,"=84")</f>
        <v>0</v>
      </c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6">
        <v>2025</v>
      </c>
      <c r="B33" s="71">
        <v>5</v>
      </c>
      <c r="C33" s="72" t="s">
        <v>14</v>
      </c>
      <c r="D33" s="75">
        <f>SUM(E33:W33)</f>
        <v>19244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19244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6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6">
        <v>2025</v>
      </c>
      <c r="B35" s="53">
        <v>54</v>
      </c>
      <c r="C35" s="54" t="s">
        <v>262</v>
      </c>
      <c r="D35" s="30">
        <f t="shared" si="13"/>
        <v>19244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19244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pageSetup scale="35" fitToHeight="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A3" sqref="A3:H324"/>
    </sheetView>
  </sheetViews>
  <sheetFormatPr defaultRowHeight="15"/>
  <cols>
    <col min="1" max="1" width="14" style="148" customWidth="1"/>
    <col min="2" max="2" width="41.42578125" style="148" customWidth="1"/>
    <col min="4" max="4" width="62.7109375" customWidth="1"/>
    <col min="5" max="5" width="9.140625" style="332"/>
    <col min="6" max="6" width="43.140625" bestFit="1" customWidth="1"/>
    <col min="7" max="8" width="9.28515625" style="317" customWidth="1"/>
  </cols>
  <sheetData>
    <row r="1" spans="1:8" ht="25.5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3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4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5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5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5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5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5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5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5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5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5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5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5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5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5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5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5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5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5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5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5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5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5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5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5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5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5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5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5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5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5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5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5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5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5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5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5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5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5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5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5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5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5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5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5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5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5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5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5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5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5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5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5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5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5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5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5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5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5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5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5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5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5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5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5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5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5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5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5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5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5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5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5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5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5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5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5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5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5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5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5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5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5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5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5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5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5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5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5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5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5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5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5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5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5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5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5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5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5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5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5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5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5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5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5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5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5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5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5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5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5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5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5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5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5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5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5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5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5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5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5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5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5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5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5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5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5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5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5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5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5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5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5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5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5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5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5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5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5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5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5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5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5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5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5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5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5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5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5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5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5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5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5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5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5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5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5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5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5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5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5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5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5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5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5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5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5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5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5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5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5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5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5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5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5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5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5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5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5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5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5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5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5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5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5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5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5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5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5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5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5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5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5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5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5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5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5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5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5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5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5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5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5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5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5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5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5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5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5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5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5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5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5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5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5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5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5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5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5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5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5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5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5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5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5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5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5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5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5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5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5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5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5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5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5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5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5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5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5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5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5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5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5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5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5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5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5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5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5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5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5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5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5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5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5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5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5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5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5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5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5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5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5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5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5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5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5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5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5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5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5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5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5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5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5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5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5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5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5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5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5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5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5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5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5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5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5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5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5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5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5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5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5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5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5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5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5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5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5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5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5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5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5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5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5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5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5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5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5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5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5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5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5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5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5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5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5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5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5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5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5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5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5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topLeftCell="A19" workbookViewId="0">
      <selection activeCell="C56" sqref="C56"/>
    </sheetView>
  </sheetViews>
  <sheetFormatPr defaultRowHeight="15"/>
  <cols>
    <col min="1" max="1" width="11.28515625" bestFit="1" customWidth="1"/>
    <col min="2" max="2" width="91.140625" customWidth="1"/>
    <col min="3" max="3" width="20.42578125" style="177" bestFit="1" customWidth="1"/>
    <col min="4" max="5" width="23.7109375" style="178" customWidth="1"/>
    <col min="6" max="6" width="11.7109375" style="176" customWidth="1"/>
  </cols>
  <sheetData>
    <row r="1" spans="1:6" ht="20.25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91" customWidth="1"/>
    <col min="2" max="2" width="6.85546875" style="296" customWidth="1"/>
    <col min="3" max="4" width="81.7109375" style="292" customWidth="1"/>
    <col min="5" max="5" width="37.140625" style="292" customWidth="1"/>
    <col min="6" max="6" width="24.7109375" style="293" customWidth="1"/>
    <col min="7" max="7" width="11.7109375" style="292" customWidth="1"/>
    <col min="8" max="8" width="12" style="297" bestFit="1" customWidth="1"/>
    <col min="9" max="9" width="21.7109375" style="239" customWidth="1"/>
    <col min="10" max="257" width="9.140625" style="239"/>
    <col min="258" max="258" width="4.5703125" style="239" customWidth="1"/>
    <col min="259" max="259" width="6.85546875" style="239" customWidth="1"/>
    <col min="260" max="260" width="81.7109375" style="239" customWidth="1"/>
    <col min="261" max="261" width="37.140625" style="239" customWidth="1"/>
    <col min="262" max="262" width="24.7109375" style="239" customWidth="1"/>
    <col min="263" max="263" width="11.7109375" style="239" customWidth="1"/>
    <col min="264" max="264" width="12" style="239" bestFit="1" customWidth="1"/>
    <col min="265" max="265" width="21.7109375" style="239" customWidth="1"/>
    <col min="266" max="513" width="9.140625" style="239"/>
    <col min="514" max="514" width="4.5703125" style="239" customWidth="1"/>
    <col min="515" max="515" width="6.85546875" style="239" customWidth="1"/>
    <col min="516" max="516" width="81.7109375" style="239" customWidth="1"/>
    <col min="517" max="517" width="37.140625" style="239" customWidth="1"/>
    <col min="518" max="518" width="24.7109375" style="239" customWidth="1"/>
    <col min="519" max="519" width="11.7109375" style="239" customWidth="1"/>
    <col min="520" max="520" width="12" style="239" bestFit="1" customWidth="1"/>
    <col min="521" max="521" width="21.7109375" style="239" customWidth="1"/>
    <col min="522" max="769" width="9.140625" style="239"/>
    <col min="770" max="770" width="4.5703125" style="239" customWidth="1"/>
    <col min="771" max="771" width="6.85546875" style="239" customWidth="1"/>
    <col min="772" max="772" width="81.7109375" style="239" customWidth="1"/>
    <col min="773" max="773" width="37.140625" style="239" customWidth="1"/>
    <col min="774" max="774" width="24.7109375" style="239" customWidth="1"/>
    <col min="775" max="775" width="11.7109375" style="239" customWidth="1"/>
    <col min="776" max="776" width="12" style="239" bestFit="1" customWidth="1"/>
    <col min="777" max="777" width="21.7109375" style="239" customWidth="1"/>
    <col min="778" max="1025" width="9.140625" style="239"/>
    <col min="1026" max="1026" width="4.5703125" style="239" customWidth="1"/>
    <col min="1027" max="1027" width="6.85546875" style="239" customWidth="1"/>
    <col min="1028" max="1028" width="81.7109375" style="239" customWidth="1"/>
    <col min="1029" max="1029" width="37.140625" style="239" customWidth="1"/>
    <col min="1030" max="1030" width="24.7109375" style="239" customWidth="1"/>
    <col min="1031" max="1031" width="11.7109375" style="239" customWidth="1"/>
    <col min="1032" max="1032" width="12" style="239" bestFit="1" customWidth="1"/>
    <col min="1033" max="1033" width="21.7109375" style="239" customWidth="1"/>
    <col min="1034" max="1281" width="9.140625" style="239"/>
    <col min="1282" max="1282" width="4.5703125" style="239" customWidth="1"/>
    <col min="1283" max="1283" width="6.85546875" style="239" customWidth="1"/>
    <col min="1284" max="1284" width="81.7109375" style="239" customWidth="1"/>
    <col min="1285" max="1285" width="37.140625" style="239" customWidth="1"/>
    <col min="1286" max="1286" width="24.7109375" style="239" customWidth="1"/>
    <col min="1287" max="1287" width="11.7109375" style="239" customWidth="1"/>
    <col min="1288" max="1288" width="12" style="239" bestFit="1" customWidth="1"/>
    <col min="1289" max="1289" width="21.7109375" style="239" customWidth="1"/>
    <col min="1290" max="1537" width="9.140625" style="239"/>
    <col min="1538" max="1538" width="4.5703125" style="239" customWidth="1"/>
    <col min="1539" max="1539" width="6.85546875" style="239" customWidth="1"/>
    <col min="1540" max="1540" width="81.7109375" style="239" customWidth="1"/>
    <col min="1541" max="1541" width="37.140625" style="239" customWidth="1"/>
    <col min="1542" max="1542" width="24.7109375" style="239" customWidth="1"/>
    <col min="1543" max="1543" width="11.7109375" style="239" customWidth="1"/>
    <col min="1544" max="1544" width="12" style="239" bestFit="1" customWidth="1"/>
    <col min="1545" max="1545" width="21.7109375" style="239" customWidth="1"/>
    <col min="1546" max="1793" width="9.140625" style="239"/>
    <col min="1794" max="1794" width="4.5703125" style="239" customWidth="1"/>
    <col min="1795" max="1795" width="6.85546875" style="239" customWidth="1"/>
    <col min="1796" max="1796" width="81.7109375" style="239" customWidth="1"/>
    <col min="1797" max="1797" width="37.140625" style="239" customWidth="1"/>
    <col min="1798" max="1798" width="24.7109375" style="239" customWidth="1"/>
    <col min="1799" max="1799" width="11.7109375" style="239" customWidth="1"/>
    <col min="1800" max="1800" width="12" style="239" bestFit="1" customWidth="1"/>
    <col min="1801" max="1801" width="21.7109375" style="239" customWidth="1"/>
    <col min="1802" max="2049" width="9.140625" style="239"/>
    <col min="2050" max="2050" width="4.5703125" style="239" customWidth="1"/>
    <col min="2051" max="2051" width="6.85546875" style="239" customWidth="1"/>
    <col min="2052" max="2052" width="81.7109375" style="239" customWidth="1"/>
    <col min="2053" max="2053" width="37.140625" style="239" customWidth="1"/>
    <col min="2054" max="2054" width="24.7109375" style="239" customWidth="1"/>
    <col min="2055" max="2055" width="11.7109375" style="239" customWidth="1"/>
    <col min="2056" max="2056" width="12" style="239" bestFit="1" customWidth="1"/>
    <col min="2057" max="2057" width="21.7109375" style="239" customWidth="1"/>
    <col min="2058" max="2305" width="9.140625" style="239"/>
    <col min="2306" max="2306" width="4.5703125" style="239" customWidth="1"/>
    <col min="2307" max="2307" width="6.85546875" style="239" customWidth="1"/>
    <col min="2308" max="2308" width="81.7109375" style="239" customWidth="1"/>
    <col min="2309" max="2309" width="37.140625" style="239" customWidth="1"/>
    <col min="2310" max="2310" width="24.7109375" style="239" customWidth="1"/>
    <col min="2311" max="2311" width="11.7109375" style="239" customWidth="1"/>
    <col min="2312" max="2312" width="12" style="239" bestFit="1" customWidth="1"/>
    <col min="2313" max="2313" width="21.7109375" style="239" customWidth="1"/>
    <col min="2314" max="2561" width="9.140625" style="239"/>
    <col min="2562" max="2562" width="4.5703125" style="239" customWidth="1"/>
    <col min="2563" max="2563" width="6.85546875" style="239" customWidth="1"/>
    <col min="2564" max="2564" width="81.7109375" style="239" customWidth="1"/>
    <col min="2565" max="2565" width="37.140625" style="239" customWidth="1"/>
    <col min="2566" max="2566" width="24.7109375" style="239" customWidth="1"/>
    <col min="2567" max="2567" width="11.7109375" style="239" customWidth="1"/>
    <col min="2568" max="2568" width="12" style="239" bestFit="1" customWidth="1"/>
    <col min="2569" max="2569" width="21.7109375" style="239" customWidth="1"/>
    <col min="2570" max="2817" width="9.140625" style="239"/>
    <col min="2818" max="2818" width="4.5703125" style="239" customWidth="1"/>
    <col min="2819" max="2819" width="6.85546875" style="239" customWidth="1"/>
    <col min="2820" max="2820" width="81.7109375" style="239" customWidth="1"/>
    <col min="2821" max="2821" width="37.140625" style="239" customWidth="1"/>
    <col min="2822" max="2822" width="24.7109375" style="239" customWidth="1"/>
    <col min="2823" max="2823" width="11.7109375" style="239" customWidth="1"/>
    <col min="2824" max="2824" width="12" style="239" bestFit="1" customWidth="1"/>
    <col min="2825" max="2825" width="21.7109375" style="239" customWidth="1"/>
    <col min="2826" max="3073" width="9.140625" style="239"/>
    <col min="3074" max="3074" width="4.5703125" style="239" customWidth="1"/>
    <col min="3075" max="3075" width="6.85546875" style="239" customWidth="1"/>
    <col min="3076" max="3076" width="81.7109375" style="239" customWidth="1"/>
    <col min="3077" max="3077" width="37.140625" style="239" customWidth="1"/>
    <col min="3078" max="3078" width="24.7109375" style="239" customWidth="1"/>
    <col min="3079" max="3079" width="11.7109375" style="239" customWidth="1"/>
    <col min="3080" max="3080" width="12" style="239" bestFit="1" customWidth="1"/>
    <col min="3081" max="3081" width="21.7109375" style="239" customWidth="1"/>
    <col min="3082" max="3329" width="9.140625" style="239"/>
    <col min="3330" max="3330" width="4.5703125" style="239" customWidth="1"/>
    <col min="3331" max="3331" width="6.85546875" style="239" customWidth="1"/>
    <col min="3332" max="3332" width="81.7109375" style="239" customWidth="1"/>
    <col min="3333" max="3333" width="37.140625" style="239" customWidth="1"/>
    <col min="3334" max="3334" width="24.7109375" style="239" customWidth="1"/>
    <col min="3335" max="3335" width="11.7109375" style="239" customWidth="1"/>
    <col min="3336" max="3336" width="12" style="239" bestFit="1" customWidth="1"/>
    <col min="3337" max="3337" width="21.7109375" style="239" customWidth="1"/>
    <col min="3338" max="3585" width="9.140625" style="239"/>
    <col min="3586" max="3586" width="4.5703125" style="239" customWidth="1"/>
    <col min="3587" max="3587" width="6.85546875" style="239" customWidth="1"/>
    <col min="3588" max="3588" width="81.7109375" style="239" customWidth="1"/>
    <col min="3589" max="3589" width="37.140625" style="239" customWidth="1"/>
    <col min="3590" max="3590" width="24.7109375" style="239" customWidth="1"/>
    <col min="3591" max="3591" width="11.7109375" style="239" customWidth="1"/>
    <col min="3592" max="3592" width="12" style="239" bestFit="1" customWidth="1"/>
    <col min="3593" max="3593" width="21.7109375" style="239" customWidth="1"/>
    <col min="3594" max="3841" width="9.140625" style="239"/>
    <col min="3842" max="3842" width="4.5703125" style="239" customWidth="1"/>
    <col min="3843" max="3843" width="6.85546875" style="239" customWidth="1"/>
    <col min="3844" max="3844" width="81.7109375" style="239" customWidth="1"/>
    <col min="3845" max="3845" width="37.140625" style="239" customWidth="1"/>
    <col min="3846" max="3846" width="24.7109375" style="239" customWidth="1"/>
    <col min="3847" max="3847" width="11.7109375" style="239" customWidth="1"/>
    <col min="3848" max="3848" width="12" style="239" bestFit="1" customWidth="1"/>
    <col min="3849" max="3849" width="21.7109375" style="239" customWidth="1"/>
    <col min="3850" max="4097" width="9.140625" style="239"/>
    <col min="4098" max="4098" width="4.5703125" style="239" customWidth="1"/>
    <col min="4099" max="4099" width="6.85546875" style="239" customWidth="1"/>
    <col min="4100" max="4100" width="81.7109375" style="239" customWidth="1"/>
    <col min="4101" max="4101" width="37.140625" style="239" customWidth="1"/>
    <col min="4102" max="4102" width="24.7109375" style="239" customWidth="1"/>
    <col min="4103" max="4103" width="11.7109375" style="239" customWidth="1"/>
    <col min="4104" max="4104" width="12" style="239" bestFit="1" customWidth="1"/>
    <col min="4105" max="4105" width="21.7109375" style="239" customWidth="1"/>
    <col min="4106" max="4353" width="9.140625" style="239"/>
    <col min="4354" max="4354" width="4.5703125" style="239" customWidth="1"/>
    <col min="4355" max="4355" width="6.85546875" style="239" customWidth="1"/>
    <col min="4356" max="4356" width="81.7109375" style="239" customWidth="1"/>
    <col min="4357" max="4357" width="37.140625" style="239" customWidth="1"/>
    <col min="4358" max="4358" width="24.7109375" style="239" customWidth="1"/>
    <col min="4359" max="4359" width="11.7109375" style="239" customWidth="1"/>
    <col min="4360" max="4360" width="12" style="239" bestFit="1" customWidth="1"/>
    <col min="4361" max="4361" width="21.7109375" style="239" customWidth="1"/>
    <col min="4362" max="4609" width="9.140625" style="239"/>
    <col min="4610" max="4610" width="4.5703125" style="239" customWidth="1"/>
    <col min="4611" max="4611" width="6.85546875" style="239" customWidth="1"/>
    <col min="4612" max="4612" width="81.7109375" style="239" customWidth="1"/>
    <col min="4613" max="4613" width="37.140625" style="239" customWidth="1"/>
    <col min="4614" max="4614" width="24.7109375" style="239" customWidth="1"/>
    <col min="4615" max="4615" width="11.7109375" style="239" customWidth="1"/>
    <col min="4616" max="4616" width="12" style="239" bestFit="1" customWidth="1"/>
    <col min="4617" max="4617" width="21.7109375" style="239" customWidth="1"/>
    <col min="4618" max="4865" width="9.140625" style="239"/>
    <col min="4866" max="4866" width="4.5703125" style="239" customWidth="1"/>
    <col min="4867" max="4867" width="6.85546875" style="239" customWidth="1"/>
    <col min="4868" max="4868" width="81.7109375" style="239" customWidth="1"/>
    <col min="4869" max="4869" width="37.140625" style="239" customWidth="1"/>
    <col min="4870" max="4870" width="24.7109375" style="239" customWidth="1"/>
    <col min="4871" max="4871" width="11.7109375" style="239" customWidth="1"/>
    <col min="4872" max="4872" width="12" style="239" bestFit="1" customWidth="1"/>
    <col min="4873" max="4873" width="21.7109375" style="239" customWidth="1"/>
    <col min="4874" max="5121" width="9.140625" style="239"/>
    <col min="5122" max="5122" width="4.5703125" style="239" customWidth="1"/>
    <col min="5123" max="5123" width="6.85546875" style="239" customWidth="1"/>
    <col min="5124" max="5124" width="81.7109375" style="239" customWidth="1"/>
    <col min="5125" max="5125" width="37.140625" style="239" customWidth="1"/>
    <col min="5126" max="5126" width="24.7109375" style="239" customWidth="1"/>
    <col min="5127" max="5127" width="11.7109375" style="239" customWidth="1"/>
    <col min="5128" max="5128" width="12" style="239" bestFit="1" customWidth="1"/>
    <col min="5129" max="5129" width="21.7109375" style="239" customWidth="1"/>
    <col min="5130" max="5377" width="9.140625" style="239"/>
    <col min="5378" max="5378" width="4.5703125" style="239" customWidth="1"/>
    <col min="5379" max="5379" width="6.85546875" style="239" customWidth="1"/>
    <col min="5380" max="5380" width="81.7109375" style="239" customWidth="1"/>
    <col min="5381" max="5381" width="37.140625" style="239" customWidth="1"/>
    <col min="5382" max="5382" width="24.7109375" style="239" customWidth="1"/>
    <col min="5383" max="5383" width="11.7109375" style="239" customWidth="1"/>
    <col min="5384" max="5384" width="12" style="239" bestFit="1" customWidth="1"/>
    <col min="5385" max="5385" width="21.7109375" style="239" customWidth="1"/>
    <col min="5386" max="5633" width="9.140625" style="239"/>
    <col min="5634" max="5634" width="4.5703125" style="239" customWidth="1"/>
    <col min="5635" max="5635" width="6.85546875" style="239" customWidth="1"/>
    <col min="5636" max="5636" width="81.7109375" style="239" customWidth="1"/>
    <col min="5637" max="5637" width="37.140625" style="239" customWidth="1"/>
    <col min="5638" max="5638" width="24.7109375" style="239" customWidth="1"/>
    <col min="5639" max="5639" width="11.7109375" style="239" customWidth="1"/>
    <col min="5640" max="5640" width="12" style="239" bestFit="1" customWidth="1"/>
    <col min="5641" max="5641" width="21.7109375" style="239" customWidth="1"/>
    <col min="5642" max="5889" width="9.140625" style="239"/>
    <col min="5890" max="5890" width="4.5703125" style="239" customWidth="1"/>
    <col min="5891" max="5891" width="6.85546875" style="239" customWidth="1"/>
    <col min="5892" max="5892" width="81.7109375" style="239" customWidth="1"/>
    <col min="5893" max="5893" width="37.140625" style="239" customWidth="1"/>
    <col min="5894" max="5894" width="24.7109375" style="239" customWidth="1"/>
    <col min="5895" max="5895" width="11.7109375" style="239" customWidth="1"/>
    <col min="5896" max="5896" width="12" style="239" bestFit="1" customWidth="1"/>
    <col min="5897" max="5897" width="21.7109375" style="239" customWidth="1"/>
    <col min="5898" max="6145" width="9.140625" style="239"/>
    <col min="6146" max="6146" width="4.5703125" style="239" customWidth="1"/>
    <col min="6147" max="6147" width="6.85546875" style="239" customWidth="1"/>
    <col min="6148" max="6148" width="81.7109375" style="239" customWidth="1"/>
    <col min="6149" max="6149" width="37.140625" style="239" customWidth="1"/>
    <col min="6150" max="6150" width="24.7109375" style="239" customWidth="1"/>
    <col min="6151" max="6151" width="11.7109375" style="239" customWidth="1"/>
    <col min="6152" max="6152" width="12" style="239" bestFit="1" customWidth="1"/>
    <col min="6153" max="6153" width="21.7109375" style="239" customWidth="1"/>
    <col min="6154" max="6401" width="9.140625" style="239"/>
    <col min="6402" max="6402" width="4.5703125" style="239" customWidth="1"/>
    <col min="6403" max="6403" width="6.85546875" style="239" customWidth="1"/>
    <col min="6404" max="6404" width="81.7109375" style="239" customWidth="1"/>
    <col min="6405" max="6405" width="37.140625" style="239" customWidth="1"/>
    <col min="6406" max="6406" width="24.7109375" style="239" customWidth="1"/>
    <col min="6407" max="6407" width="11.7109375" style="239" customWidth="1"/>
    <col min="6408" max="6408" width="12" style="239" bestFit="1" customWidth="1"/>
    <col min="6409" max="6409" width="21.7109375" style="239" customWidth="1"/>
    <col min="6410" max="6657" width="9.140625" style="239"/>
    <col min="6658" max="6658" width="4.5703125" style="239" customWidth="1"/>
    <col min="6659" max="6659" width="6.85546875" style="239" customWidth="1"/>
    <col min="6660" max="6660" width="81.7109375" style="239" customWidth="1"/>
    <col min="6661" max="6661" width="37.140625" style="239" customWidth="1"/>
    <col min="6662" max="6662" width="24.7109375" style="239" customWidth="1"/>
    <col min="6663" max="6663" width="11.7109375" style="239" customWidth="1"/>
    <col min="6664" max="6664" width="12" style="239" bestFit="1" customWidth="1"/>
    <col min="6665" max="6665" width="21.7109375" style="239" customWidth="1"/>
    <col min="6666" max="6913" width="9.140625" style="239"/>
    <col min="6914" max="6914" width="4.5703125" style="239" customWidth="1"/>
    <col min="6915" max="6915" width="6.85546875" style="239" customWidth="1"/>
    <col min="6916" max="6916" width="81.7109375" style="239" customWidth="1"/>
    <col min="6917" max="6917" width="37.140625" style="239" customWidth="1"/>
    <col min="6918" max="6918" width="24.7109375" style="239" customWidth="1"/>
    <col min="6919" max="6919" width="11.7109375" style="239" customWidth="1"/>
    <col min="6920" max="6920" width="12" style="239" bestFit="1" customWidth="1"/>
    <col min="6921" max="6921" width="21.7109375" style="239" customWidth="1"/>
    <col min="6922" max="7169" width="9.140625" style="239"/>
    <col min="7170" max="7170" width="4.5703125" style="239" customWidth="1"/>
    <col min="7171" max="7171" width="6.85546875" style="239" customWidth="1"/>
    <col min="7172" max="7172" width="81.7109375" style="239" customWidth="1"/>
    <col min="7173" max="7173" width="37.140625" style="239" customWidth="1"/>
    <col min="7174" max="7174" width="24.7109375" style="239" customWidth="1"/>
    <col min="7175" max="7175" width="11.7109375" style="239" customWidth="1"/>
    <col min="7176" max="7176" width="12" style="239" bestFit="1" customWidth="1"/>
    <col min="7177" max="7177" width="21.7109375" style="239" customWidth="1"/>
    <col min="7178" max="7425" width="9.140625" style="239"/>
    <col min="7426" max="7426" width="4.5703125" style="239" customWidth="1"/>
    <col min="7427" max="7427" width="6.85546875" style="239" customWidth="1"/>
    <col min="7428" max="7428" width="81.7109375" style="239" customWidth="1"/>
    <col min="7429" max="7429" width="37.140625" style="239" customWidth="1"/>
    <col min="7430" max="7430" width="24.7109375" style="239" customWidth="1"/>
    <col min="7431" max="7431" width="11.7109375" style="239" customWidth="1"/>
    <col min="7432" max="7432" width="12" style="239" bestFit="1" customWidth="1"/>
    <col min="7433" max="7433" width="21.7109375" style="239" customWidth="1"/>
    <col min="7434" max="7681" width="9.140625" style="239"/>
    <col min="7682" max="7682" width="4.5703125" style="239" customWidth="1"/>
    <col min="7683" max="7683" width="6.85546875" style="239" customWidth="1"/>
    <col min="7684" max="7684" width="81.7109375" style="239" customWidth="1"/>
    <col min="7685" max="7685" width="37.140625" style="239" customWidth="1"/>
    <col min="7686" max="7686" width="24.7109375" style="239" customWidth="1"/>
    <col min="7687" max="7687" width="11.7109375" style="239" customWidth="1"/>
    <col min="7688" max="7688" width="12" style="239" bestFit="1" customWidth="1"/>
    <col min="7689" max="7689" width="21.7109375" style="239" customWidth="1"/>
    <col min="7690" max="7937" width="9.140625" style="239"/>
    <col min="7938" max="7938" width="4.5703125" style="239" customWidth="1"/>
    <col min="7939" max="7939" width="6.85546875" style="239" customWidth="1"/>
    <col min="7940" max="7940" width="81.7109375" style="239" customWidth="1"/>
    <col min="7941" max="7941" width="37.140625" style="239" customWidth="1"/>
    <col min="7942" max="7942" width="24.7109375" style="239" customWidth="1"/>
    <col min="7943" max="7943" width="11.7109375" style="239" customWidth="1"/>
    <col min="7944" max="7944" width="12" style="239" bestFit="1" customWidth="1"/>
    <col min="7945" max="7945" width="21.7109375" style="239" customWidth="1"/>
    <col min="7946" max="8193" width="9.140625" style="239"/>
    <col min="8194" max="8194" width="4.5703125" style="239" customWidth="1"/>
    <col min="8195" max="8195" width="6.85546875" style="239" customWidth="1"/>
    <col min="8196" max="8196" width="81.7109375" style="239" customWidth="1"/>
    <col min="8197" max="8197" width="37.140625" style="239" customWidth="1"/>
    <col min="8198" max="8198" width="24.7109375" style="239" customWidth="1"/>
    <col min="8199" max="8199" width="11.7109375" style="239" customWidth="1"/>
    <col min="8200" max="8200" width="12" style="239" bestFit="1" customWidth="1"/>
    <col min="8201" max="8201" width="21.7109375" style="239" customWidth="1"/>
    <col min="8202" max="8449" width="9.140625" style="239"/>
    <col min="8450" max="8450" width="4.5703125" style="239" customWidth="1"/>
    <col min="8451" max="8451" width="6.85546875" style="239" customWidth="1"/>
    <col min="8452" max="8452" width="81.7109375" style="239" customWidth="1"/>
    <col min="8453" max="8453" width="37.140625" style="239" customWidth="1"/>
    <col min="8454" max="8454" width="24.7109375" style="239" customWidth="1"/>
    <col min="8455" max="8455" width="11.7109375" style="239" customWidth="1"/>
    <col min="8456" max="8456" width="12" style="239" bestFit="1" customWidth="1"/>
    <col min="8457" max="8457" width="21.7109375" style="239" customWidth="1"/>
    <col min="8458" max="8705" width="9.140625" style="239"/>
    <col min="8706" max="8706" width="4.5703125" style="239" customWidth="1"/>
    <col min="8707" max="8707" width="6.85546875" style="239" customWidth="1"/>
    <col min="8708" max="8708" width="81.7109375" style="239" customWidth="1"/>
    <col min="8709" max="8709" width="37.140625" style="239" customWidth="1"/>
    <col min="8710" max="8710" width="24.7109375" style="239" customWidth="1"/>
    <col min="8711" max="8711" width="11.7109375" style="239" customWidth="1"/>
    <col min="8712" max="8712" width="12" style="239" bestFit="1" customWidth="1"/>
    <col min="8713" max="8713" width="21.7109375" style="239" customWidth="1"/>
    <col min="8714" max="8961" width="9.140625" style="239"/>
    <col min="8962" max="8962" width="4.5703125" style="239" customWidth="1"/>
    <col min="8963" max="8963" width="6.85546875" style="239" customWidth="1"/>
    <col min="8964" max="8964" width="81.7109375" style="239" customWidth="1"/>
    <col min="8965" max="8965" width="37.140625" style="239" customWidth="1"/>
    <col min="8966" max="8966" width="24.7109375" style="239" customWidth="1"/>
    <col min="8967" max="8967" width="11.7109375" style="239" customWidth="1"/>
    <col min="8968" max="8968" width="12" style="239" bestFit="1" customWidth="1"/>
    <col min="8969" max="8969" width="21.7109375" style="239" customWidth="1"/>
    <col min="8970" max="9217" width="9.140625" style="239"/>
    <col min="9218" max="9218" width="4.5703125" style="239" customWidth="1"/>
    <col min="9219" max="9219" width="6.85546875" style="239" customWidth="1"/>
    <col min="9220" max="9220" width="81.7109375" style="239" customWidth="1"/>
    <col min="9221" max="9221" width="37.140625" style="239" customWidth="1"/>
    <col min="9222" max="9222" width="24.7109375" style="239" customWidth="1"/>
    <col min="9223" max="9223" width="11.7109375" style="239" customWidth="1"/>
    <col min="9224" max="9224" width="12" style="239" bestFit="1" customWidth="1"/>
    <col min="9225" max="9225" width="21.7109375" style="239" customWidth="1"/>
    <col min="9226" max="9473" width="9.140625" style="239"/>
    <col min="9474" max="9474" width="4.5703125" style="239" customWidth="1"/>
    <col min="9475" max="9475" width="6.85546875" style="239" customWidth="1"/>
    <col min="9476" max="9476" width="81.7109375" style="239" customWidth="1"/>
    <col min="9477" max="9477" width="37.140625" style="239" customWidth="1"/>
    <col min="9478" max="9478" width="24.7109375" style="239" customWidth="1"/>
    <col min="9479" max="9479" width="11.7109375" style="239" customWidth="1"/>
    <col min="9480" max="9480" width="12" style="239" bestFit="1" customWidth="1"/>
    <col min="9481" max="9481" width="21.7109375" style="239" customWidth="1"/>
    <col min="9482" max="9729" width="9.140625" style="239"/>
    <col min="9730" max="9730" width="4.5703125" style="239" customWidth="1"/>
    <col min="9731" max="9731" width="6.85546875" style="239" customWidth="1"/>
    <col min="9732" max="9732" width="81.7109375" style="239" customWidth="1"/>
    <col min="9733" max="9733" width="37.140625" style="239" customWidth="1"/>
    <col min="9734" max="9734" width="24.7109375" style="239" customWidth="1"/>
    <col min="9735" max="9735" width="11.7109375" style="239" customWidth="1"/>
    <col min="9736" max="9736" width="12" style="239" bestFit="1" customWidth="1"/>
    <col min="9737" max="9737" width="21.7109375" style="239" customWidth="1"/>
    <col min="9738" max="9985" width="9.140625" style="239"/>
    <col min="9986" max="9986" width="4.5703125" style="239" customWidth="1"/>
    <col min="9987" max="9987" width="6.85546875" style="239" customWidth="1"/>
    <col min="9988" max="9988" width="81.7109375" style="239" customWidth="1"/>
    <col min="9989" max="9989" width="37.140625" style="239" customWidth="1"/>
    <col min="9990" max="9990" width="24.7109375" style="239" customWidth="1"/>
    <col min="9991" max="9991" width="11.7109375" style="239" customWidth="1"/>
    <col min="9992" max="9992" width="12" style="239" bestFit="1" customWidth="1"/>
    <col min="9993" max="9993" width="21.7109375" style="239" customWidth="1"/>
    <col min="9994" max="10241" width="9.140625" style="239"/>
    <col min="10242" max="10242" width="4.5703125" style="239" customWidth="1"/>
    <col min="10243" max="10243" width="6.85546875" style="239" customWidth="1"/>
    <col min="10244" max="10244" width="81.7109375" style="239" customWidth="1"/>
    <col min="10245" max="10245" width="37.140625" style="239" customWidth="1"/>
    <col min="10246" max="10246" width="24.7109375" style="239" customWidth="1"/>
    <col min="10247" max="10247" width="11.7109375" style="239" customWidth="1"/>
    <col min="10248" max="10248" width="12" style="239" bestFit="1" customWidth="1"/>
    <col min="10249" max="10249" width="21.7109375" style="239" customWidth="1"/>
    <col min="10250" max="10497" width="9.140625" style="239"/>
    <col min="10498" max="10498" width="4.5703125" style="239" customWidth="1"/>
    <col min="10499" max="10499" width="6.85546875" style="239" customWidth="1"/>
    <col min="10500" max="10500" width="81.7109375" style="239" customWidth="1"/>
    <col min="10501" max="10501" width="37.140625" style="239" customWidth="1"/>
    <col min="10502" max="10502" width="24.7109375" style="239" customWidth="1"/>
    <col min="10503" max="10503" width="11.7109375" style="239" customWidth="1"/>
    <col min="10504" max="10504" width="12" style="239" bestFit="1" customWidth="1"/>
    <col min="10505" max="10505" width="21.7109375" style="239" customWidth="1"/>
    <col min="10506" max="10753" width="9.140625" style="239"/>
    <col min="10754" max="10754" width="4.5703125" style="239" customWidth="1"/>
    <col min="10755" max="10755" width="6.85546875" style="239" customWidth="1"/>
    <col min="10756" max="10756" width="81.7109375" style="239" customWidth="1"/>
    <col min="10757" max="10757" width="37.140625" style="239" customWidth="1"/>
    <col min="10758" max="10758" width="24.7109375" style="239" customWidth="1"/>
    <col min="10759" max="10759" width="11.7109375" style="239" customWidth="1"/>
    <col min="10760" max="10760" width="12" style="239" bestFit="1" customWidth="1"/>
    <col min="10761" max="10761" width="21.7109375" style="239" customWidth="1"/>
    <col min="10762" max="11009" width="9.140625" style="239"/>
    <col min="11010" max="11010" width="4.5703125" style="239" customWidth="1"/>
    <col min="11011" max="11011" width="6.85546875" style="239" customWidth="1"/>
    <col min="11012" max="11012" width="81.7109375" style="239" customWidth="1"/>
    <col min="11013" max="11013" width="37.140625" style="239" customWidth="1"/>
    <col min="11014" max="11014" width="24.7109375" style="239" customWidth="1"/>
    <col min="11015" max="11015" width="11.7109375" style="239" customWidth="1"/>
    <col min="11016" max="11016" width="12" style="239" bestFit="1" customWidth="1"/>
    <col min="11017" max="11017" width="21.7109375" style="239" customWidth="1"/>
    <col min="11018" max="11265" width="9.140625" style="239"/>
    <col min="11266" max="11266" width="4.5703125" style="239" customWidth="1"/>
    <col min="11267" max="11267" width="6.85546875" style="239" customWidth="1"/>
    <col min="11268" max="11268" width="81.7109375" style="239" customWidth="1"/>
    <col min="11269" max="11269" width="37.140625" style="239" customWidth="1"/>
    <col min="11270" max="11270" width="24.7109375" style="239" customWidth="1"/>
    <col min="11271" max="11271" width="11.7109375" style="239" customWidth="1"/>
    <col min="11272" max="11272" width="12" style="239" bestFit="1" customWidth="1"/>
    <col min="11273" max="11273" width="21.7109375" style="239" customWidth="1"/>
    <col min="11274" max="11521" width="9.140625" style="239"/>
    <col min="11522" max="11522" width="4.5703125" style="239" customWidth="1"/>
    <col min="11523" max="11523" width="6.85546875" style="239" customWidth="1"/>
    <col min="11524" max="11524" width="81.7109375" style="239" customWidth="1"/>
    <col min="11525" max="11525" width="37.140625" style="239" customWidth="1"/>
    <col min="11526" max="11526" width="24.7109375" style="239" customWidth="1"/>
    <col min="11527" max="11527" width="11.7109375" style="239" customWidth="1"/>
    <col min="11528" max="11528" width="12" style="239" bestFit="1" customWidth="1"/>
    <col min="11529" max="11529" width="21.7109375" style="239" customWidth="1"/>
    <col min="11530" max="11777" width="9.140625" style="239"/>
    <col min="11778" max="11778" width="4.5703125" style="239" customWidth="1"/>
    <col min="11779" max="11779" width="6.85546875" style="239" customWidth="1"/>
    <col min="11780" max="11780" width="81.7109375" style="239" customWidth="1"/>
    <col min="11781" max="11781" width="37.140625" style="239" customWidth="1"/>
    <col min="11782" max="11782" width="24.7109375" style="239" customWidth="1"/>
    <col min="11783" max="11783" width="11.7109375" style="239" customWidth="1"/>
    <col min="11784" max="11784" width="12" style="239" bestFit="1" customWidth="1"/>
    <col min="11785" max="11785" width="21.7109375" style="239" customWidth="1"/>
    <col min="11786" max="12033" width="9.140625" style="239"/>
    <col min="12034" max="12034" width="4.5703125" style="239" customWidth="1"/>
    <col min="12035" max="12035" width="6.85546875" style="239" customWidth="1"/>
    <col min="12036" max="12036" width="81.7109375" style="239" customWidth="1"/>
    <col min="12037" max="12037" width="37.140625" style="239" customWidth="1"/>
    <col min="12038" max="12038" width="24.7109375" style="239" customWidth="1"/>
    <col min="12039" max="12039" width="11.7109375" style="239" customWidth="1"/>
    <col min="12040" max="12040" width="12" style="239" bestFit="1" customWidth="1"/>
    <col min="12041" max="12041" width="21.7109375" style="239" customWidth="1"/>
    <col min="12042" max="12289" width="9.140625" style="239"/>
    <col min="12290" max="12290" width="4.5703125" style="239" customWidth="1"/>
    <col min="12291" max="12291" width="6.85546875" style="239" customWidth="1"/>
    <col min="12292" max="12292" width="81.7109375" style="239" customWidth="1"/>
    <col min="12293" max="12293" width="37.140625" style="239" customWidth="1"/>
    <col min="12294" max="12294" width="24.7109375" style="239" customWidth="1"/>
    <col min="12295" max="12295" width="11.7109375" style="239" customWidth="1"/>
    <col min="12296" max="12296" width="12" style="239" bestFit="1" customWidth="1"/>
    <col min="12297" max="12297" width="21.7109375" style="239" customWidth="1"/>
    <col min="12298" max="12545" width="9.140625" style="239"/>
    <col min="12546" max="12546" width="4.5703125" style="239" customWidth="1"/>
    <col min="12547" max="12547" width="6.85546875" style="239" customWidth="1"/>
    <col min="12548" max="12548" width="81.7109375" style="239" customWidth="1"/>
    <col min="12549" max="12549" width="37.140625" style="239" customWidth="1"/>
    <col min="12550" max="12550" width="24.7109375" style="239" customWidth="1"/>
    <col min="12551" max="12551" width="11.7109375" style="239" customWidth="1"/>
    <col min="12552" max="12552" width="12" style="239" bestFit="1" customWidth="1"/>
    <col min="12553" max="12553" width="21.7109375" style="239" customWidth="1"/>
    <col min="12554" max="12801" width="9.140625" style="239"/>
    <col min="12802" max="12802" width="4.5703125" style="239" customWidth="1"/>
    <col min="12803" max="12803" width="6.85546875" style="239" customWidth="1"/>
    <col min="12804" max="12804" width="81.7109375" style="239" customWidth="1"/>
    <col min="12805" max="12805" width="37.140625" style="239" customWidth="1"/>
    <col min="12806" max="12806" width="24.7109375" style="239" customWidth="1"/>
    <col min="12807" max="12807" width="11.7109375" style="239" customWidth="1"/>
    <col min="12808" max="12808" width="12" style="239" bestFit="1" customWidth="1"/>
    <col min="12809" max="12809" width="21.7109375" style="239" customWidth="1"/>
    <col min="12810" max="13057" width="9.140625" style="239"/>
    <col min="13058" max="13058" width="4.5703125" style="239" customWidth="1"/>
    <col min="13059" max="13059" width="6.85546875" style="239" customWidth="1"/>
    <col min="13060" max="13060" width="81.7109375" style="239" customWidth="1"/>
    <col min="13061" max="13061" width="37.140625" style="239" customWidth="1"/>
    <col min="13062" max="13062" width="24.7109375" style="239" customWidth="1"/>
    <col min="13063" max="13063" width="11.7109375" style="239" customWidth="1"/>
    <col min="13064" max="13064" width="12" style="239" bestFit="1" customWidth="1"/>
    <col min="13065" max="13065" width="21.7109375" style="239" customWidth="1"/>
    <col min="13066" max="13313" width="9.140625" style="239"/>
    <col min="13314" max="13314" width="4.5703125" style="239" customWidth="1"/>
    <col min="13315" max="13315" width="6.85546875" style="239" customWidth="1"/>
    <col min="13316" max="13316" width="81.7109375" style="239" customWidth="1"/>
    <col min="13317" max="13317" width="37.140625" style="239" customWidth="1"/>
    <col min="13318" max="13318" width="24.7109375" style="239" customWidth="1"/>
    <col min="13319" max="13319" width="11.7109375" style="239" customWidth="1"/>
    <col min="13320" max="13320" width="12" style="239" bestFit="1" customWidth="1"/>
    <col min="13321" max="13321" width="21.7109375" style="239" customWidth="1"/>
    <col min="13322" max="13569" width="9.140625" style="239"/>
    <col min="13570" max="13570" width="4.5703125" style="239" customWidth="1"/>
    <col min="13571" max="13571" width="6.85546875" style="239" customWidth="1"/>
    <col min="13572" max="13572" width="81.7109375" style="239" customWidth="1"/>
    <col min="13573" max="13573" width="37.140625" style="239" customWidth="1"/>
    <col min="13574" max="13574" width="24.7109375" style="239" customWidth="1"/>
    <col min="13575" max="13575" width="11.7109375" style="239" customWidth="1"/>
    <col min="13576" max="13576" width="12" style="239" bestFit="1" customWidth="1"/>
    <col min="13577" max="13577" width="21.7109375" style="239" customWidth="1"/>
    <col min="13578" max="13825" width="9.140625" style="239"/>
    <col min="13826" max="13826" width="4.5703125" style="239" customWidth="1"/>
    <col min="13827" max="13827" width="6.85546875" style="239" customWidth="1"/>
    <col min="13828" max="13828" width="81.7109375" style="239" customWidth="1"/>
    <col min="13829" max="13829" width="37.140625" style="239" customWidth="1"/>
    <col min="13830" max="13830" width="24.7109375" style="239" customWidth="1"/>
    <col min="13831" max="13831" width="11.7109375" style="239" customWidth="1"/>
    <col min="13832" max="13832" width="12" style="239" bestFit="1" customWidth="1"/>
    <col min="13833" max="13833" width="21.7109375" style="239" customWidth="1"/>
    <col min="13834" max="14081" width="9.140625" style="239"/>
    <col min="14082" max="14082" width="4.5703125" style="239" customWidth="1"/>
    <col min="14083" max="14083" width="6.85546875" style="239" customWidth="1"/>
    <col min="14084" max="14084" width="81.7109375" style="239" customWidth="1"/>
    <col min="14085" max="14085" width="37.140625" style="239" customWidth="1"/>
    <col min="14086" max="14086" width="24.7109375" style="239" customWidth="1"/>
    <col min="14087" max="14087" width="11.7109375" style="239" customWidth="1"/>
    <col min="14088" max="14088" width="12" style="239" bestFit="1" customWidth="1"/>
    <col min="14089" max="14089" width="21.7109375" style="239" customWidth="1"/>
    <col min="14090" max="14337" width="9.140625" style="239"/>
    <col min="14338" max="14338" width="4.5703125" style="239" customWidth="1"/>
    <col min="14339" max="14339" width="6.85546875" style="239" customWidth="1"/>
    <col min="14340" max="14340" width="81.7109375" style="239" customWidth="1"/>
    <col min="14341" max="14341" width="37.140625" style="239" customWidth="1"/>
    <col min="14342" max="14342" width="24.7109375" style="239" customWidth="1"/>
    <col min="14343" max="14343" width="11.7109375" style="239" customWidth="1"/>
    <col min="14344" max="14344" width="12" style="239" bestFit="1" customWidth="1"/>
    <col min="14345" max="14345" width="21.7109375" style="239" customWidth="1"/>
    <col min="14346" max="14593" width="9.140625" style="239"/>
    <col min="14594" max="14594" width="4.5703125" style="239" customWidth="1"/>
    <col min="14595" max="14595" width="6.85546875" style="239" customWidth="1"/>
    <col min="14596" max="14596" width="81.7109375" style="239" customWidth="1"/>
    <col min="14597" max="14597" width="37.140625" style="239" customWidth="1"/>
    <col min="14598" max="14598" width="24.7109375" style="239" customWidth="1"/>
    <col min="14599" max="14599" width="11.7109375" style="239" customWidth="1"/>
    <col min="14600" max="14600" width="12" style="239" bestFit="1" customWidth="1"/>
    <col min="14601" max="14601" width="21.7109375" style="239" customWidth="1"/>
    <col min="14602" max="14849" width="9.140625" style="239"/>
    <col min="14850" max="14850" width="4.5703125" style="239" customWidth="1"/>
    <col min="14851" max="14851" width="6.85546875" style="239" customWidth="1"/>
    <col min="14852" max="14852" width="81.7109375" style="239" customWidth="1"/>
    <col min="14853" max="14853" width="37.140625" style="239" customWidth="1"/>
    <col min="14854" max="14854" width="24.7109375" style="239" customWidth="1"/>
    <col min="14855" max="14855" width="11.7109375" style="239" customWidth="1"/>
    <col min="14856" max="14856" width="12" style="239" bestFit="1" customWidth="1"/>
    <col min="14857" max="14857" width="21.7109375" style="239" customWidth="1"/>
    <col min="14858" max="15105" width="9.140625" style="239"/>
    <col min="15106" max="15106" width="4.5703125" style="239" customWidth="1"/>
    <col min="15107" max="15107" width="6.85546875" style="239" customWidth="1"/>
    <col min="15108" max="15108" width="81.7109375" style="239" customWidth="1"/>
    <col min="15109" max="15109" width="37.140625" style="239" customWidth="1"/>
    <col min="15110" max="15110" width="24.7109375" style="239" customWidth="1"/>
    <col min="15111" max="15111" width="11.7109375" style="239" customWidth="1"/>
    <col min="15112" max="15112" width="12" style="239" bestFit="1" customWidth="1"/>
    <col min="15113" max="15113" width="21.7109375" style="239" customWidth="1"/>
    <col min="15114" max="15361" width="9.140625" style="239"/>
    <col min="15362" max="15362" width="4.5703125" style="239" customWidth="1"/>
    <col min="15363" max="15363" width="6.85546875" style="239" customWidth="1"/>
    <col min="15364" max="15364" width="81.7109375" style="239" customWidth="1"/>
    <col min="15365" max="15365" width="37.140625" style="239" customWidth="1"/>
    <col min="15366" max="15366" width="24.7109375" style="239" customWidth="1"/>
    <col min="15367" max="15367" width="11.7109375" style="239" customWidth="1"/>
    <col min="15368" max="15368" width="12" style="239" bestFit="1" customWidth="1"/>
    <col min="15369" max="15369" width="21.7109375" style="239" customWidth="1"/>
    <col min="15370" max="15617" width="9.140625" style="239"/>
    <col min="15618" max="15618" width="4.5703125" style="239" customWidth="1"/>
    <col min="15619" max="15619" width="6.85546875" style="239" customWidth="1"/>
    <col min="15620" max="15620" width="81.7109375" style="239" customWidth="1"/>
    <col min="15621" max="15621" width="37.140625" style="239" customWidth="1"/>
    <col min="15622" max="15622" width="24.7109375" style="239" customWidth="1"/>
    <col min="15623" max="15623" width="11.7109375" style="239" customWidth="1"/>
    <col min="15624" max="15624" width="12" style="239" bestFit="1" customWidth="1"/>
    <col min="15625" max="15625" width="21.7109375" style="239" customWidth="1"/>
    <col min="15626" max="15873" width="9.140625" style="239"/>
    <col min="15874" max="15874" width="4.5703125" style="239" customWidth="1"/>
    <col min="15875" max="15875" width="6.85546875" style="239" customWidth="1"/>
    <col min="15876" max="15876" width="81.7109375" style="239" customWidth="1"/>
    <col min="15877" max="15877" width="37.140625" style="239" customWidth="1"/>
    <col min="15878" max="15878" width="24.7109375" style="239" customWidth="1"/>
    <col min="15879" max="15879" width="11.7109375" style="239" customWidth="1"/>
    <col min="15880" max="15880" width="12" style="239" bestFit="1" customWidth="1"/>
    <col min="15881" max="15881" width="21.7109375" style="239" customWidth="1"/>
    <col min="15882" max="16129" width="9.140625" style="239"/>
    <col min="16130" max="16130" width="4.5703125" style="239" customWidth="1"/>
    <col min="16131" max="16131" width="6.85546875" style="239" customWidth="1"/>
    <col min="16132" max="16132" width="81.7109375" style="239" customWidth="1"/>
    <col min="16133" max="16133" width="37.140625" style="239" customWidth="1"/>
    <col min="16134" max="16134" width="24.7109375" style="239" customWidth="1"/>
    <col min="16135" max="16135" width="11.7109375" style="239" customWidth="1"/>
    <col min="16136" max="16136" width="12" style="239" bestFit="1" customWidth="1"/>
    <col min="16137" max="16137" width="21.7109375" style="239" customWidth="1"/>
    <col min="16138" max="16384" width="9.140625" style="239"/>
  </cols>
  <sheetData>
    <row r="1" spans="1:10" ht="18" customHeight="1" thickBot="1">
      <c r="A1" s="372" t="s">
        <v>3542</v>
      </c>
      <c r="B1" s="372"/>
      <c r="C1" s="372"/>
      <c r="D1" s="372"/>
      <c r="E1" s="372"/>
      <c r="F1" s="372"/>
      <c r="G1" s="372"/>
      <c r="H1" s="372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4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4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4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4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4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4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4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4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4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24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4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3" t="s">
        <v>5080</v>
      </c>
      <c r="B615" s="373"/>
      <c r="C615" s="373"/>
      <c r="D615" s="373"/>
      <c r="E615" s="373"/>
      <c r="F615" s="373"/>
      <c r="G615" s="373"/>
      <c r="H615" s="373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2022-12-19T11:42:51Z</cp:lastPrinted>
  <dcterms:created xsi:type="dcterms:W3CDTF">2018-09-10T07:36:17Z</dcterms:created>
  <dcterms:modified xsi:type="dcterms:W3CDTF">2023-01-26T13:15:31Z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